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showInkAnnotation="0" codeName="ThisWorkbook"/>
  <mc:AlternateContent xmlns:mc="http://schemas.openxmlformats.org/markup-compatibility/2006">
    <mc:Choice Requires="x15">
      <x15ac:absPath xmlns:x15ac="http://schemas.microsoft.com/office/spreadsheetml/2010/11/ac" url="C:\Users\morgant\Documents\Marketing\Projects\How To Order Guide\"/>
    </mc:Choice>
  </mc:AlternateContent>
  <xr:revisionPtr revIDLastSave="0" documentId="13_ncr:1_{AB1194CB-6A24-4680-BDB1-47398DF9B5F1}" xr6:coauthVersionLast="47" xr6:coauthVersionMax="47" xr10:uidLastSave="{00000000-0000-0000-0000-000000000000}"/>
  <workbookProtection lockStructure="1"/>
  <bookViews>
    <workbookView xWindow="28680" yWindow="-105" windowWidth="29040" windowHeight="15840" xr2:uid="{00000000-000D-0000-FFFF-FFFF00000000}"/>
  </bookViews>
  <sheets>
    <sheet name="Serinus Analyser Order Guide" sheetId="1" r:id="rId1"/>
    <sheet name="data sources" sheetId="2" state="hidden" r:id="rId2"/>
  </sheets>
  <definedNames>
    <definedName name="base_model">'data sources'!$D$4:$D$15</definedName>
    <definedName name="checkbox_product_codes">'data sources'!$C$28:$C$56</definedName>
    <definedName name="checkbox_product_names">'data sources'!$D$28:$D$57</definedName>
    <definedName name="coming_soon">'data sources'!#REF!</definedName>
    <definedName name="GAS">'data sources'!$D$5:$E$15</definedName>
    <definedName name="High_Range">'data sources'!$G$18:$H$28</definedName>
    <definedName name="Model_range">'data sources'!$D$18:$D$21</definedName>
    <definedName name="_xlnm.Print_Area" localSheetId="0">'Serinus Analyser Order Guide'!$A$1:$G$30</definedName>
    <definedName name="product_code_lookup">'data sources'!$C$5:$D$100</definedName>
    <definedName name="product_codes">'data sources'!$C$5:$C$100</definedName>
    <definedName name="product_names">'data sources'!$D$5:$D$100</definedName>
    <definedName name="S31_Options">'data sources'!$K$90:$K$93</definedName>
    <definedName name="S40_Options">'data sources'!$K$21:$K$27</definedName>
    <definedName name="S44_Options">'data sources'!$K$31:$K$35</definedName>
    <definedName name="S50_Options">'data sources'!$K$39:$K$44</definedName>
    <definedName name="S51_Options">'data sources'!$K$48:$K$51</definedName>
    <definedName name="S55_Options">'data sources'!$K$55:$K$59</definedName>
    <definedName name="S56_Options">'data sources'!$K$63:$K$68</definedName>
    <definedName name="S57_Options">'data sources'!$K$73:$K$78</definedName>
    <definedName name="S60_Options">'data sources'!$K$83:$K$86</definedName>
    <definedName name="Standard_Range">'data sources'!$G$5:$H$15</definedName>
    <definedName name="Trace_Range">'data sources'!$G$32:$H$42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3" i="1" l="1"/>
  <c r="B14" i="1"/>
  <c r="K90" i="2"/>
  <c r="D30" i="2"/>
  <c r="K93" i="2"/>
  <c r="K92" i="2"/>
  <c r="K91" i="2"/>
  <c r="D39" i="2"/>
  <c r="D82" i="2"/>
  <c r="K86" i="2"/>
  <c r="B21" i="1" l="1"/>
  <c r="B26" i="1" l="1"/>
  <c r="D26" i="1" s="1"/>
  <c r="B23" i="1"/>
  <c r="D23" i="1" s="1"/>
  <c r="B20" i="1"/>
  <c r="B19" i="1"/>
  <c r="F8" i="1"/>
  <c r="D20" i="1" l="1"/>
  <c r="H37" i="2"/>
  <c r="K48" i="2" l="1"/>
  <c r="D21" i="1"/>
  <c r="D19" i="1"/>
  <c r="B30" i="1" l="1"/>
  <c r="D30" i="1" s="1"/>
  <c r="E30" i="1" l="1"/>
  <c r="K8" i="2"/>
  <c r="D75" i="2"/>
  <c r="D74" i="2"/>
  <c r="K36" i="2"/>
  <c r="D96" i="2"/>
  <c r="D91" i="2" l="1"/>
  <c r="E26" i="1"/>
  <c r="E23" i="1"/>
  <c r="E20" i="1"/>
  <c r="E21" i="1"/>
  <c r="E19" i="1"/>
  <c r="K85" i="2" l="1"/>
  <c r="K84" i="2"/>
  <c r="K83" i="2"/>
  <c r="D25" i="2"/>
  <c r="D9" i="1" s="1"/>
  <c r="D24" i="2"/>
  <c r="K77" i="2"/>
  <c r="K76" i="2"/>
  <c r="K75" i="2"/>
  <c r="K74" i="2"/>
  <c r="K73" i="2"/>
  <c r="K67" i="2"/>
  <c r="K66" i="2"/>
  <c r="K65" i="2"/>
  <c r="K64" i="2"/>
  <c r="K63" i="2"/>
  <c r="K35" i="2"/>
  <c r="D68" i="2"/>
  <c r="K59" i="2"/>
  <c r="K58" i="2"/>
  <c r="K51" i="2"/>
  <c r="K50" i="2"/>
  <c r="K44" i="2"/>
  <c r="K43" i="2"/>
  <c r="K34" i="2"/>
  <c r="K33" i="2"/>
  <c r="K27" i="2"/>
  <c r="K26" i="2"/>
  <c r="K16" i="2"/>
  <c r="K17" i="2"/>
  <c r="K15" i="2"/>
  <c r="K9" i="2"/>
  <c r="D63" i="2"/>
  <c r="D73" i="2"/>
  <c r="D62" i="2"/>
  <c r="D60" i="2"/>
  <c r="D61" i="2"/>
  <c r="D59" i="2"/>
  <c r="D58" i="2"/>
  <c r="D57" i="2"/>
  <c r="D52" i="2"/>
  <c r="E9" i="1" l="1"/>
  <c r="K57" i="2"/>
  <c r="K56" i="2"/>
  <c r="K55" i="2"/>
  <c r="K49" i="2"/>
  <c r="K42" i="2"/>
  <c r="K41" i="2"/>
  <c r="K40" i="2"/>
  <c r="K39" i="2"/>
  <c r="K32" i="2"/>
  <c r="K31" i="2"/>
  <c r="K25" i="2"/>
  <c r="K24" i="2"/>
  <c r="K23" i="2"/>
  <c r="K22" i="2"/>
  <c r="K21" i="2"/>
  <c r="K14" i="2"/>
  <c r="K13" i="2"/>
  <c r="K12" i="2"/>
  <c r="K7" i="2"/>
  <c r="K6" i="2"/>
  <c r="K5" i="2"/>
  <c r="D12" i="2"/>
  <c r="D13" i="2"/>
  <c r="D14" i="2"/>
  <c r="D15" i="2"/>
  <c r="D21" i="2"/>
  <c r="D20" i="2"/>
  <c r="D19" i="2"/>
  <c r="D80" i="2" l="1"/>
  <c r="D81" i="2"/>
  <c r="D83" i="2"/>
  <c r="D84" i="2"/>
  <c r="D85" i="2"/>
  <c r="D86" i="2"/>
  <c r="D87" i="2"/>
  <c r="D88" i="2"/>
  <c r="D89" i="2"/>
  <c r="D90" i="2"/>
  <c r="D79" i="2"/>
  <c r="D56" i="2"/>
  <c r="D55" i="2"/>
  <c r="D54" i="2"/>
  <c r="D53" i="2"/>
  <c r="D51" i="2"/>
  <c r="D50" i="2"/>
  <c r="D49" i="2"/>
  <c r="D48" i="2"/>
  <c r="D36" i="2"/>
  <c r="D35" i="2"/>
  <c r="D34" i="2"/>
  <c r="D33" i="2"/>
  <c r="D32" i="2"/>
  <c r="D31" i="2"/>
  <c r="D66" i="2"/>
  <c r="D67" i="2"/>
  <c r="D72" i="2"/>
  <c r="D47" i="2"/>
  <c r="D46" i="2"/>
  <c r="D45" i="2"/>
  <c r="D44" i="2"/>
  <c r="D43" i="2"/>
  <c r="D42" i="2"/>
  <c r="D41" i="2"/>
  <c r="D40" i="2"/>
  <c r="D38" i="2"/>
  <c r="D9" i="2"/>
  <c r="D10" i="2"/>
  <c r="D11" i="2"/>
  <c r="D8" i="2"/>
  <c r="D29" i="2" l="1"/>
  <c r="D37" i="2"/>
  <c r="D100" i="2"/>
  <c r="D92" i="2"/>
  <c r="D93" i="2"/>
  <c r="D94" i="2"/>
  <c r="D95" i="2"/>
  <c r="D28" i="2"/>
  <c r="D6" i="2"/>
  <c r="D5" i="2"/>
  <c r="D1" i="2"/>
  <c r="D13" i="1" l="1"/>
  <c r="D14" i="1"/>
  <c r="B12" i="1"/>
  <c r="D12" i="1" s="1"/>
  <c r="F6" i="1"/>
  <c r="D7" i="1"/>
  <c r="F20" i="1"/>
  <c r="F23" i="1"/>
  <c r="E7" i="1"/>
  <c r="F19" i="1"/>
  <c r="F26" i="1"/>
  <c r="F21" i="1"/>
  <c r="F30" i="1"/>
  <c r="E12" i="1" l="1"/>
  <c r="F12" i="1" s="1"/>
  <c r="E13" i="1"/>
  <c r="E14" i="1"/>
  <c r="B11" i="1" l="1"/>
  <c r="D11" i="1" s="1"/>
  <c r="B27" i="1"/>
  <c r="B15" i="1"/>
  <c r="D15" i="1" s="1"/>
  <c r="B16" i="1"/>
  <c r="D16" i="1" s="1"/>
  <c r="F13" i="1"/>
  <c r="B17" i="1"/>
  <c r="D17" i="1" s="1"/>
  <c r="F14" i="1"/>
  <c r="E16" i="1" l="1"/>
  <c r="F16" i="1" s="1"/>
  <c r="E11" i="1"/>
  <c r="B24" i="1" s="1"/>
  <c r="E27" i="1"/>
  <c r="F27" i="1" s="1"/>
  <c r="D27" i="1"/>
  <c r="E17" i="1"/>
  <c r="F17" i="1" s="1"/>
  <c r="E15" i="1"/>
  <c r="F15" i="1" s="1"/>
  <c r="F11" i="1" l="1"/>
  <c r="B28" i="1" s="1"/>
  <c r="D24" i="1"/>
  <c r="E24" i="1"/>
  <c r="F24" i="1" l="1"/>
  <c r="D28" i="1" l="1"/>
  <c r="E28" i="1"/>
  <c r="F28" i="1" s="1"/>
</calcChain>
</file>

<file path=xl/sharedStrings.xml><?xml version="1.0" encoding="utf-8"?>
<sst xmlns="http://schemas.openxmlformats.org/spreadsheetml/2006/main" count="295" uniqueCount="214">
  <si>
    <t>data sheet</t>
  </si>
  <si>
    <t>primary device</t>
  </si>
  <si>
    <t>base_model</t>
  </si>
  <si>
    <t>E020101</t>
  </si>
  <si>
    <t>E020122</t>
  </si>
  <si>
    <t>E020116</t>
  </si>
  <si>
    <t>Base options</t>
  </si>
  <si>
    <t>- click to choose one -</t>
  </si>
  <si>
    <t>Part Numbers</t>
  </si>
  <si>
    <t>Scrubber NH3</t>
  </si>
  <si>
    <t>ECO-1033-1</t>
  </si>
  <si>
    <t>Filter DFU (old PN 036-040180)</t>
  </si>
  <si>
    <t>Filter Felt 1.56" Diam. To suit scrubber cannisters</t>
  </si>
  <si>
    <t>F010005</t>
  </si>
  <si>
    <t>P031001</t>
  </si>
  <si>
    <t>Calibration Certification (check boxes to add)</t>
  </si>
  <si>
    <t>Analyser Variant</t>
  </si>
  <si>
    <t>Serinus 10</t>
  </si>
  <si>
    <t>Serinus 30</t>
  </si>
  <si>
    <t>Serinus 40</t>
  </si>
  <si>
    <t>Serinus 50</t>
  </si>
  <si>
    <t>Serinus 60</t>
  </si>
  <si>
    <t>Serinus 44</t>
  </si>
  <si>
    <t>Serinus 51</t>
  </si>
  <si>
    <t>Serinus 55</t>
  </si>
  <si>
    <t>Serinus 56</t>
  </si>
  <si>
    <t>Serinus 57</t>
  </si>
  <si>
    <t>SERINUS ANALYSER</t>
  </si>
  <si>
    <t>Serinus Analyser Order Form</t>
  </si>
  <si>
    <t>Range</t>
  </si>
  <si>
    <t>High</t>
  </si>
  <si>
    <t>Trace</t>
  </si>
  <si>
    <t>E020010</t>
  </si>
  <si>
    <t>E020030</t>
  </si>
  <si>
    <t>E020040</t>
  </si>
  <si>
    <t>E020050</t>
  </si>
  <si>
    <t>E020051</t>
  </si>
  <si>
    <t>E020055</t>
  </si>
  <si>
    <t>E020056</t>
  </si>
  <si>
    <t>E020057</t>
  </si>
  <si>
    <t>E020044</t>
  </si>
  <si>
    <t>E020060</t>
  </si>
  <si>
    <t>S10 Internal Pump</t>
  </si>
  <si>
    <t>E020105</t>
  </si>
  <si>
    <t>S30 Internal Pump</t>
  </si>
  <si>
    <t>E020107</t>
  </si>
  <si>
    <t>M010026</t>
  </si>
  <si>
    <t>M010060</t>
  </si>
  <si>
    <t>M010027</t>
  </si>
  <si>
    <t>M010028</t>
  </si>
  <si>
    <t>M010029</t>
  </si>
  <si>
    <t>M010034</t>
  </si>
  <si>
    <t>M010040</t>
  </si>
  <si>
    <t>M010032</t>
  </si>
  <si>
    <t>M010038</t>
  </si>
  <si>
    <t>M010035</t>
  </si>
  <si>
    <t>S40 Internal Pump</t>
  </si>
  <si>
    <t>S50 Internal Pump</t>
  </si>
  <si>
    <t>S60 Internal Pump</t>
  </si>
  <si>
    <t>E020104</t>
  </si>
  <si>
    <t>E020106</t>
  </si>
  <si>
    <t>E020124</t>
  </si>
  <si>
    <t>S40 Test Lamp</t>
  </si>
  <si>
    <t>S44 Test Lamp</t>
  </si>
  <si>
    <t>E020103</t>
  </si>
  <si>
    <t>E020112</t>
  </si>
  <si>
    <t>Installed Options Analyser Specific (checkboxes)</t>
  </si>
  <si>
    <t>Installed Options Suits all (checkboxes)</t>
  </si>
  <si>
    <t>Options Suits all not installed (checkboxes)</t>
  </si>
  <si>
    <t>S30 Trace</t>
  </si>
  <si>
    <t>S40 Trace</t>
  </si>
  <si>
    <t>S50 Trace</t>
  </si>
  <si>
    <t>S10 IZS</t>
  </si>
  <si>
    <t>S40 IZS</t>
  </si>
  <si>
    <t>S50 IZS</t>
  </si>
  <si>
    <t>E020119</t>
  </si>
  <si>
    <t>E020120</t>
  </si>
  <si>
    <t>E020130</t>
  </si>
  <si>
    <t>E020134</t>
  </si>
  <si>
    <t>S50 Test Lamp</t>
  </si>
  <si>
    <t>S40 Sample dryer</t>
  </si>
  <si>
    <t>E020135</t>
  </si>
  <si>
    <t>S30 High Flow</t>
  </si>
  <si>
    <t>E020118</t>
  </si>
  <si>
    <t>E020123</t>
  </si>
  <si>
    <t>H010136</t>
  </si>
  <si>
    <t>S10 Annual Maintenance Kit</t>
  </si>
  <si>
    <t>E020201</t>
  </si>
  <si>
    <t>S30 Annual Maintenance Kit</t>
  </si>
  <si>
    <t>S40 Annual Maintenance Kit</t>
  </si>
  <si>
    <t>S50/S56 Annual Maintenance Kit</t>
  </si>
  <si>
    <t>S55/S57 Annual Maintenance Kit</t>
  </si>
  <si>
    <t>S44 Annual Maintenance Kit</t>
  </si>
  <si>
    <t>S40 IZS Annual Maintenance Kit</t>
  </si>
  <si>
    <t>S10 IZS Annual Maintenance Kit</t>
  </si>
  <si>
    <t>S50 IZS Annual Maintenance Kit</t>
  </si>
  <si>
    <t>S51 Annual Maintenance Kit</t>
  </si>
  <si>
    <t>E020202</t>
  </si>
  <si>
    <t>E020203-01</t>
  </si>
  <si>
    <t>E020206</t>
  </si>
  <si>
    <t>E020204</t>
  </si>
  <si>
    <t>E020205</t>
  </si>
  <si>
    <t>E020207</t>
  </si>
  <si>
    <t>E020210</t>
  </si>
  <si>
    <t>E020212</t>
  </si>
  <si>
    <t>E020213</t>
  </si>
  <si>
    <t>Analyser Range</t>
  </si>
  <si>
    <t>Installed Options Analyser Specific (check boxes to add)</t>
  </si>
  <si>
    <t>model _range</t>
  </si>
  <si>
    <t>Service Accessories Kit</t>
  </si>
  <si>
    <t>Accessories and Service Kits (checkboxes)</t>
  </si>
  <si>
    <t>Standard</t>
  </si>
  <si>
    <t>High_Range</t>
  </si>
  <si>
    <t>Standard_Range</t>
  </si>
  <si>
    <t>Part number</t>
  </si>
  <si>
    <t>S30_Options</t>
  </si>
  <si>
    <t>S10_ Options</t>
  </si>
  <si>
    <t>S40_Options</t>
  </si>
  <si>
    <t>S44_Options</t>
  </si>
  <si>
    <t>S50_Options</t>
  </si>
  <si>
    <t>S51_Options</t>
  </si>
  <si>
    <t>S55_Options</t>
  </si>
  <si>
    <t>S56_Options</t>
  </si>
  <si>
    <t>S57_Options</t>
  </si>
  <si>
    <t>S60_Options</t>
  </si>
  <si>
    <t>Dual sample filter option</t>
  </si>
  <si>
    <t>future options (for now don't add there to a list)</t>
  </si>
  <si>
    <t>IZS</t>
  </si>
  <si>
    <t>GAS</t>
  </si>
  <si>
    <t>CO</t>
  </si>
  <si>
    <t>TRS</t>
  </si>
  <si>
    <t>TS</t>
  </si>
  <si>
    <t>E020114</t>
  </si>
  <si>
    <t>E020113</t>
  </si>
  <si>
    <t xml:space="preserve">S10 IZ </t>
  </si>
  <si>
    <t>E020132</t>
  </si>
  <si>
    <t>High Pressure Span</t>
  </si>
  <si>
    <t>E020108</t>
  </si>
  <si>
    <t>Network Port PCA</t>
  </si>
  <si>
    <t>High Pressure Zero</t>
  </si>
  <si>
    <t>E020109</t>
  </si>
  <si>
    <t>E020100</t>
  </si>
  <si>
    <t>Dual Sample Filter</t>
  </si>
  <si>
    <t>ECO-HTO1000N</t>
  </si>
  <si>
    <t>ECO-HTO1000N-115</t>
  </si>
  <si>
    <t>ECO-HTO1000</t>
  </si>
  <si>
    <t>ECO-HTO1000-115</t>
  </si>
  <si>
    <t>External Charcoal scrubber</t>
  </si>
  <si>
    <t>H010048</t>
  </si>
  <si>
    <t>External CO2 sensor</t>
  </si>
  <si>
    <t>Trace_Range</t>
  </si>
  <si>
    <t>Analyser Voltage</t>
  </si>
  <si>
    <t>Metric Fitting Kit (for rear panel)</t>
  </si>
  <si>
    <t>19" Rack Mount Kit</t>
  </si>
  <si>
    <t>Accessories and Service Kits (check boxes to add)</t>
  </si>
  <si>
    <t>S60 Annual Maintenance Kit</t>
  </si>
  <si>
    <t>P030004</t>
  </si>
  <si>
    <t>P030005</t>
  </si>
  <si>
    <t>E020209</t>
  </si>
  <si>
    <t>Option Not Available</t>
  </si>
  <si>
    <t>P031005</t>
  </si>
  <si>
    <t>Internal Pump Repair Kit (to suit KNF pump)</t>
  </si>
  <si>
    <t>External Pump Repair Kit (to suit 607 pump)</t>
  </si>
  <si>
    <r>
      <t>O</t>
    </r>
    <r>
      <rPr>
        <vertAlign val="subscript"/>
        <sz val="11"/>
        <color theme="1"/>
        <rFont val="Calibri"/>
        <family val="2"/>
        <scheme val="minor"/>
      </rPr>
      <t>3</t>
    </r>
  </si>
  <si>
    <r>
      <t>N</t>
    </r>
    <r>
      <rPr>
        <vertAlign val="subscript"/>
        <sz val="11"/>
        <color theme="1"/>
        <rFont val="Calibri"/>
        <family val="2"/>
        <scheme val="minor"/>
      </rPr>
      <t>X</t>
    </r>
    <r>
      <rPr>
        <sz val="11"/>
        <color theme="1"/>
        <rFont val="Calibri"/>
        <family val="2"/>
        <scheme val="minor"/>
      </rPr>
      <t>, NH</t>
    </r>
    <r>
      <rPr>
        <vertAlign val="subscript"/>
        <sz val="11"/>
        <color theme="1"/>
        <rFont val="Calibri"/>
        <family val="2"/>
        <scheme val="minor"/>
      </rPr>
      <t>3</t>
    </r>
    <r>
      <rPr>
        <sz val="11"/>
        <color theme="1"/>
        <rFont val="Calibri"/>
        <family val="2"/>
        <scheme val="minor"/>
      </rPr>
      <t>, NO</t>
    </r>
    <r>
      <rPr>
        <vertAlign val="subscript"/>
        <sz val="11"/>
        <color theme="1"/>
        <rFont val="Calibri"/>
        <family val="2"/>
        <scheme val="minor"/>
      </rPr>
      <t>X</t>
    </r>
    <r>
      <rPr>
        <sz val="11"/>
        <color theme="1"/>
        <rFont val="Calibri"/>
        <family val="2"/>
        <scheme val="minor"/>
      </rPr>
      <t>, NO</t>
    </r>
    <r>
      <rPr>
        <vertAlign val="subscript"/>
        <sz val="11"/>
        <color theme="1"/>
        <rFont val="Calibri"/>
        <family val="2"/>
        <scheme val="minor"/>
      </rPr>
      <t>2</t>
    </r>
    <r>
      <rPr>
        <sz val="11"/>
        <color theme="1"/>
        <rFont val="Calibri"/>
        <family val="2"/>
        <scheme val="minor"/>
      </rPr>
      <t>, NO</t>
    </r>
  </si>
  <si>
    <r>
      <t>SO</t>
    </r>
    <r>
      <rPr>
        <vertAlign val="subscript"/>
        <sz val="11"/>
        <color theme="1"/>
        <rFont val="Calibri"/>
        <family val="2"/>
        <scheme val="minor"/>
      </rPr>
      <t>2</t>
    </r>
  </si>
  <si>
    <r>
      <t>SO</t>
    </r>
    <r>
      <rPr>
        <vertAlign val="subscript"/>
        <sz val="11"/>
        <color theme="1"/>
        <rFont val="Calibri"/>
        <family val="2"/>
        <scheme val="minor"/>
      </rPr>
      <t>2</t>
    </r>
    <r>
      <rPr>
        <sz val="11"/>
        <color theme="1"/>
        <rFont val="Calibri"/>
        <family val="2"/>
        <scheme val="minor"/>
      </rPr>
      <t>, H</t>
    </r>
    <r>
      <rPr>
        <vertAlign val="subscript"/>
        <sz val="11"/>
        <color theme="1"/>
        <rFont val="Calibri"/>
        <family val="2"/>
        <scheme val="minor"/>
      </rPr>
      <t>2</t>
    </r>
    <r>
      <rPr>
        <sz val="11"/>
        <color theme="1"/>
        <rFont val="Calibri"/>
        <family val="2"/>
        <scheme val="minor"/>
      </rPr>
      <t>S</t>
    </r>
  </si>
  <si>
    <r>
      <t>H</t>
    </r>
    <r>
      <rPr>
        <vertAlign val="subscript"/>
        <sz val="11"/>
        <color theme="1"/>
        <rFont val="Calibri"/>
        <family val="2"/>
        <scheme val="minor"/>
      </rPr>
      <t>2</t>
    </r>
    <r>
      <rPr>
        <sz val="11"/>
        <color theme="1"/>
        <rFont val="Calibri"/>
        <family val="2"/>
        <scheme val="minor"/>
      </rPr>
      <t>S</t>
    </r>
  </si>
  <si>
    <r>
      <t>NO</t>
    </r>
    <r>
      <rPr>
        <vertAlign val="subscript"/>
        <sz val="11"/>
        <color theme="1"/>
        <rFont val="Calibri"/>
        <family val="2"/>
        <scheme val="minor"/>
      </rPr>
      <t>2</t>
    </r>
  </si>
  <si>
    <t>Gas</t>
  </si>
  <si>
    <r>
      <t>NO</t>
    </r>
    <r>
      <rPr>
        <vertAlign val="subscript"/>
        <sz val="11"/>
        <color theme="1"/>
        <rFont val="Calibri"/>
        <family val="2"/>
        <scheme val="minor"/>
      </rPr>
      <t>X</t>
    </r>
    <r>
      <rPr>
        <sz val="11"/>
        <color theme="1"/>
        <rFont val="Calibri"/>
        <family val="2"/>
        <scheme val="minor"/>
      </rPr>
      <t>, NO</t>
    </r>
    <r>
      <rPr>
        <vertAlign val="subscript"/>
        <sz val="11"/>
        <color theme="1"/>
        <rFont val="Calibri"/>
        <family val="2"/>
        <scheme val="minor"/>
      </rPr>
      <t>2</t>
    </r>
    <r>
      <rPr>
        <sz val="11"/>
        <color theme="1"/>
        <rFont val="Calibri"/>
        <family val="2"/>
        <scheme val="minor"/>
      </rPr>
      <t>, NO</t>
    </r>
  </si>
  <si>
    <t>Serinus 10 User Manual</t>
  </si>
  <si>
    <t>Serinus 30 User Manual</t>
  </si>
  <si>
    <t>Serinus 40 User Manual</t>
  </si>
  <si>
    <t>Serinus 44 User Manual</t>
  </si>
  <si>
    <t>Serinus 50 User Manual</t>
  </si>
  <si>
    <t>Serinus 51 User Manual</t>
  </si>
  <si>
    <t>Serinus 55 User Manual</t>
  </si>
  <si>
    <t>Serinus 56 User Manual</t>
  </si>
  <si>
    <t>Serinus 57 User Manual</t>
  </si>
  <si>
    <t>Serinus 60 User Manual</t>
  </si>
  <si>
    <t>110 V</t>
  </si>
  <si>
    <t>240 V</t>
  </si>
  <si>
    <r>
      <t>NH</t>
    </r>
    <r>
      <rPr>
        <vertAlign val="subscript"/>
        <sz val="11"/>
        <color theme="1"/>
        <rFont val="Calibri"/>
        <family val="2"/>
        <scheme val="minor"/>
      </rPr>
      <t>3</t>
    </r>
    <r>
      <rPr>
        <sz val="11"/>
        <color theme="1"/>
        <rFont val="Calibri"/>
        <family val="2"/>
        <scheme val="minor"/>
      </rPr>
      <t xml:space="preserve"> converter 240 V</t>
    </r>
  </si>
  <si>
    <r>
      <t>NH</t>
    </r>
    <r>
      <rPr>
        <vertAlign val="subscript"/>
        <sz val="11"/>
        <color theme="1"/>
        <rFont val="Calibri"/>
        <family val="2"/>
        <scheme val="minor"/>
      </rPr>
      <t>3</t>
    </r>
    <r>
      <rPr>
        <sz val="11"/>
        <color theme="1"/>
        <rFont val="Calibri"/>
        <family val="2"/>
        <scheme val="minor"/>
      </rPr>
      <t xml:space="preserve"> converter 110 V</t>
    </r>
  </si>
  <si>
    <t>NATA Calibration</t>
  </si>
  <si>
    <t>External Pump 240 V</t>
  </si>
  <si>
    <t>External Pump 110 V</t>
  </si>
  <si>
    <t>Available</t>
  </si>
  <si>
    <t>E020125</t>
  </si>
  <si>
    <t>Options Suit all Variants not installed (check boxes to add)</t>
  </si>
  <si>
    <t>Installed Options Suits all Variants (check boxes to add)</t>
  </si>
  <si>
    <t>Converter 240 V</t>
  </si>
  <si>
    <t>Converter 110 V</t>
  </si>
  <si>
    <t>E020126</t>
  </si>
  <si>
    <t xml:space="preserve"> - Click on this cell and select from the drop down list to start -</t>
  </si>
  <si>
    <t>E031014</t>
  </si>
  <si>
    <t>Hi vacuum pump (s40T)</t>
  </si>
  <si>
    <t>Dryer removed (S30T)</t>
  </si>
  <si>
    <t>P030016</t>
  </si>
  <si>
    <t>P030017</t>
  </si>
  <si>
    <t>External Double Head Pump 240 V</t>
  </si>
  <si>
    <t>External Double Head Pump 110 V</t>
  </si>
  <si>
    <t>External Pump Repair Kit (to suit double head pump)</t>
  </si>
  <si>
    <t>PUM-1054</t>
  </si>
  <si>
    <t>Serinus 31</t>
  </si>
  <si>
    <t>E020031</t>
  </si>
  <si>
    <r>
      <t>CO</t>
    </r>
    <r>
      <rPr>
        <vertAlign val="subscript"/>
        <sz val="11"/>
        <color theme="1"/>
        <rFont val="Calibri"/>
        <family val="2"/>
        <scheme val="minor"/>
      </rPr>
      <t>2</t>
    </r>
  </si>
  <si>
    <t>S31_Options</t>
  </si>
  <si>
    <t>S31 Annual Maintenance Kit</t>
  </si>
  <si>
    <t>E020208</t>
  </si>
  <si>
    <t>Serinus 31 User Manual</t>
  </si>
  <si>
    <t>M010065</t>
  </si>
  <si>
    <t>S31 Internal Pump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</si>
</sst>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1"/>
      <name val="Calibri"/>
      <family val="2"/>
      <scheme val="minor"/>
    </font>
    <font>
      <sz val="11"/>
      <color rgb="FF000000"/>
      <name val="Gotham"/>
    </font>
    <font>
      <b/>
      <sz val="11"/>
      <color rgb="FF000000"/>
      <name val="Calibri"/>
      <family val="2"/>
      <scheme val="minor"/>
    </font>
    <font>
      <sz val="11"/>
      <color rgb="FF000000"/>
      <name val="Calibri"/>
      <family val="2"/>
      <scheme val="minor"/>
    </font>
    <font>
      <sz val="9"/>
      <color theme="1"/>
      <name val="Calibri"/>
      <family val="2"/>
      <scheme val="minor"/>
    </font>
    <font>
      <sz val="20"/>
      <color theme="1"/>
      <name val="Gotham"/>
    </font>
    <font>
      <sz val="11"/>
      <color theme="1"/>
      <name val="Franklin Gothic Book"/>
      <family val="2"/>
    </font>
    <font>
      <sz val="11"/>
      <color theme="1"/>
      <name val="Franklin Gothic Demi"/>
      <family val="2"/>
    </font>
    <font>
      <sz val="11"/>
      <color rgb="FF000000"/>
      <name val="Franklin Gothic Demi"/>
      <family val="2"/>
    </font>
    <font>
      <sz val="11"/>
      <color rgb="FF000000"/>
      <name val="Franklin Gothic Book"/>
      <family val="2"/>
    </font>
    <font>
      <sz val="12"/>
      <color rgb="FF000000"/>
      <name val="Franklin Gothic Demi"/>
      <family val="2"/>
    </font>
    <font>
      <sz val="10"/>
      <color rgb="FF000000"/>
      <name val="Franklin Gothic Demi"/>
      <family val="2"/>
    </font>
    <font>
      <sz val="11"/>
      <color rgb="FFFF5050"/>
      <name val="Calibri"/>
      <family val="2"/>
      <scheme val="minor"/>
    </font>
    <font>
      <sz val="11"/>
      <color rgb="FF000000"/>
      <name val="Calibri"/>
      <family val="2"/>
    </font>
    <font>
      <b/>
      <sz val="11"/>
      <color theme="1"/>
      <name val="Calibri"/>
      <family val="2"/>
      <scheme val="minor"/>
    </font>
    <font>
      <sz val="11"/>
      <color theme="0"/>
      <name val="Calibri"/>
      <family val="2"/>
      <scheme val="minor"/>
    </font>
    <font>
      <sz val="10"/>
      <color rgb="FF222222"/>
      <name val="Arial"/>
      <family val="2"/>
    </font>
    <font>
      <vertAlign val="subscript"/>
      <sz val="11"/>
      <color theme="1"/>
      <name val="Calibri"/>
      <family val="2"/>
      <scheme val="minor"/>
    </font>
    <font>
      <sz val="11"/>
      <color theme="0" tint="-0.14999847407452621"/>
      <name val="Franklin Gothic Book"/>
      <family val="2"/>
    </font>
    <font>
      <sz val="8"/>
      <color rgb="FF000000"/>
      <name val="Franklin Gothic Book"/>
      <family val="2"/>
    </font>
    <font>
      <sz val="11"/>
      <color rgb="FFFF0000"/>
      <name val="Calibri"/>
      <family val="2"/>
      <scheme val="minor"/>
    </font>
    <font>
      <sz val="8"/>
      <name val="Calibri"/>
      <family val="2"/>
      <scheme val="minor"/>
    </font>
  </fonts>
  <fills count="6">
    <fill>
      <patternFill patternType="none"/>
    </fill>
    <fill>
      <patternFill patternType="gray125"/>
    </fill>
    <fill>
      <patternFill patternType="solid">
        <fgColor rgb="FFC4E7E6"/>
        <bgColor indexed="64"/>
      </patternFill>
    </fill>
    <fill>
      <patternFill patternType="solid">
        <fgColor rgb="FFD9DEE2"/>
        <bgColor indexed="64"/>
      </patternFill>
    </fill>
    <fill>
      <patternFill patternType="solid">
        <fgColor rgb="FFE0F2F1"/>
        <bgColor indexed="64"/>
      </patternFill>
    </fill>
    <fill>
      <patternFill patternType="solid">
        <fgColor theme="0"/>
        <bgColor indexed="64"/>
      </patternFill>
    </fill>
  </fills>
  <borders count="11">
    <border>
      <left/>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bottom/>
      <diagonal/>
    </border>
    <border>
      <left style="thin">
        <color rgb="FFFFFFFF"/>
      </left>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right/>
      <top/>
      <bottom style="thin">
        <color rgb="FFFFFFFF"/>
      </bottom>
      <diagonal/>
    </border>
  </borders>
  <cellStyleXfs count="2">
    <xf numFmtId="0" fontId="0" fillId="0" borderId="0"/>
    <xf numFmtId="0" fontId="1" fillId="0" borderId="0"/>
  </cellStyleXfs>
  <cellXfs count="51">
    <xf numFmtId="0" fontId="0" fillId="0" borderId="0" xfId="0"/>
    <xf numFmtId="0" fontId="0" fillId="0" borderId="0" xfId="0" applyFont="1" applyFill="1"/>
    <xf numFmtId="0" fontId="3" fillId="0" borderId="1" xfId="0" applyFont="1" applyFill="1" applyBorder="1" applyAlignment="1">
      <alignment horizontal="left" vertical="center" indent="1"/>
    </xf>
    <xf numFmtId="0" fontId="4" fillId="0" borderId="2" xfId="0" applyFont="1" applyFill="1" applyBorder="1" applyAlignment="1">
      <alignment horizontal="left" vertical="center" indent="1"/>
    </xf>
    <xf numFmtId="0" fontId="2" fillId="4" borderId="3" xfId="0" applyFont="1" applyFill="1" applyBorder="1" applyAlignment="1">
      <alignment horizontal="left" vertical="center" indent="1"/>
    </xf>
    <xf numFmtId="0" fontId="2" fillId="4" borderId="4" xfId="0" applyFont="1" applyFill="1" applyBorder="1" applyAlignment="1">
      <alignment horizontal="left" vertical="center" indent="1"/>
    </xf>
    <xf numFmtId="0" fontId="5" fillId="0" borderId="0" xfId="0" applyFont="1" applyAlignment="1">
      <alignment horizontal="left" indent="2"/>
    </xf>
    <xf numFmtId="0" fontId="7" fillId="0" borderId="0" xfId="0" applyFont="1"/>
    <xf numFmtId="0" fontId="8" fillId="0" borderId="0" xfId="0" applyFont="1"/>
    <xf numFmtId="0" fontId="10" fillId="3" borderId="7" xfId="0" applyFont="1" applyFill="1" applyBorder="1" applyAlignment="1">
      <alignment horizontal="left" vertical="center" indent="1"/>
    </xf>
    <xf numFmtId="0" fontId="10" fillId="3" borderId="8" xfId="0" applyFont="1" applyFill="1" applyBorder="1" applyAlignment="1">
      <alignment horizontal="left" vertical="center" indent="1"/>
    </xf>
    <xf numFmtId="0" fontId="9" fillId="4" borderId="8" xfId="0" applyFont="1" applyFill="1" applyBorder="1" applyAlignment="1">
      <alignment horizontal="left" vertical="center" indent="1"/>
    </xf>
    <xf numFmtId="0" fontId="9" fillId="4" borderId="5" xfId="0" applyFont="1" applyFill="1" applyBorder="1" applyAlignment="1">
      <alignment horizontal="left" vertical="center" indent="1"/>
    </xf>
    <xf numFmtId="0" fontId="9" fillId="2" borderId="6" xfId="0" applyFont="1" applyFill="1" applyBorder="1" applyAlignment="1">
      <alignment horizontal="left" vertical="center" indent="1"/>
    </xf>
    <xf numFmtId="0" fontId="2" fillId="4" borderId="0" xfId="0" applyFont="1" applyFill="1" applyBorder="1" applyAlignment="1">
      <alignment horizontal="left" vertical="center" indent="1"/>
    </xf>
    <xf numFmtId="0" fontId="15" fillId="0" borderId="0" xfId="0" applyFont="1" applyFill="1"/>
    <xf numFmtId="0" fontId="0" fillId="5" borderId="0" xfId="0" applyFill="1"/>
    <xf numFmtId="49" fontId="13" fillId="5" borderId="0" xfId="0" applyNumberFormat="1" applyFont="1" applyFill="1" applyAlignment="1">
      <alignment vertical="center" wrapText="1"/>
    </xf>
    <xf numFmtId="0" fontId="8" fillId="5" borderId="0" xfId="0" applyFont="1" applyFill="1"/>
    <xf numFmtId="0" fontId="7" fillId="5" borderId="0" xfId="0" applyFont="1" applyFill="1"/>
    <xf numFmtId="0" fontId="5" fillId="5" borderId="0" xfId="0" applyFont="1" applyFill="1" applyAlignment="1">
      <alignment horizontal="left" indent="2"/>
    </xf>
    <xf numFmtId="0" fontId="0" fillId="5" borderId="0" xfId="0" applyFill="1" applyAlignment="1">
      <alignment wrapText="1"/>
    </xf>
    <xf numFmtId="0" fontId="3" fillId="0" borderId="0" xfId="0" applyFont="1" applyFill="1" applyBorder="1" applyAlignment="1">
      <alignment horizontal="left" vertical="center" indent="1"/>
    </xf>
    <xf numFmtId="0" fontId="4" fillId="0" borderId="1" xfId="0" applyFont="1" applyFill="1" applyBorder="1" applyAlignment="1">
      <alignment horizontal="left" vertical="center" indent="1"/>
    </xf>
    <xf numFmtId="0" fontId="3" fillId="5" borderId="0" xfId="0" applyFont="1" applyFill="1" applyBorder="1" applyAlignment="1">
      <alignment horizontal="left" vertical="center" indent="1"/>
    </xf>
    <xf numFmtId="0" fontId="4" fillId="0" borderId="0" xfId="0" applyFont="1" applyFill="1" applyBorder="1" applyAlignment="1">
      <alignment horizontal="left" vertical="center" indent="1"/>
    </xf>
    <xf numFmtId="0" fontId="15" fillId="0" borderId="0" xfId="0" applyFont="1"/>
    <xf numFmtId="0" fontId="0" fillId="0" borderId="0" xfId="0" applyFont="1" applyFill="1" applyBorder="1"/>
    <xf numFmtId="0" fontId="17" fillId="0" borderId="0" xfId="0" applyFont="1" applyAlignment="1">
      <alignment vertical="center" wrapText="1"/>
    </xf>
    <xf numFmtId="49" fontId="16" fillId="5" borderId="0" xfId="0" applyNumberFormat="1" applyFont="1" applyFill="1" applyAlignment="1">
      <alignment vertical="center" wrapText="1"/>
    </xf>
    <xf numFmtId="0" fontId="4" fillId="0" borderId="0" xfId="0" applyFont="1"/>
    <xf numFmtId="0" fontId="17" fillId="0" borderId="0" xfId="0" applyFont="1" applyFill="1" applyAlignment="1">
      <alignment vertical="center" wrapText="1"/>
    </xf>
    <xf numFmtId="0" fontId="21" fillId="0" borderId="0" xfId="0" applyFont="1" applyFill="1"/>
    <xf numFmtId="0" fontId="11" fillId="2" borderId="5" xfId="0" applyFont="1" applyFill="1" applyBorder="1" applyAlignment="1">
      <alignment horizontal="left" vertical="center" indent="1"/>
    </xf>
    <xf numFmtId="0" fontId="11" fillId="2" borderId="0" xfId="0" applyFont="1" applyFill="1" applyBorder="1" applyAlignment="1">
      <alignment horizontal="left" vertical="center" indent="1"/>
    </xf>
    <xf numFmtId="0" fontId="6" fillId="5" borderId="0" xfId="0" applyFont="1" applyFill="1" applyAlignment="1">
      <alignment horizontal="center" vertical="center"/>
    </xf>
    <xf numFmtId="0" fontId="11" fillId="2" borderId="7" xfId="0" applyFont="1" applyFill="1" applyBorder="1" applyAlignment="1">
      <alignment horizontal="left" vertical="center" indent="1"/>
    </xf>
    <xf numFmtId="0" fontId="11" fillId="2" borderId="9" xfId="0" applyFont="1" applyFill="1" applyBorder="1" applyAlignment="1">
      <alignment horizontal="left" vertical="center" indent="1"/>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20" fillId="3" borderId="7" xfId="0" applyFont="1" applyFill="1" applyBorder="1" applyAlignment="1" applyProtection="1">
      <alignment horizontal="left" vertical="center" wrapText="1" indent="1"/>
      <protection hidden="1"/>
    </xf>
    <xf numFmtId="0" fontId="9" fillId="4" borderId="5" xfId="0" applyFont="1" applyFill="1" applyBorder="1" applyAlignment="1" applyProtection="1">
      <alignment horizontal="left" vertical="center" indent="1"/>
      <protection hidden="1"/>
    </xf>
    <xf numFmtId="0" fontId="20" fillId="3" borderId="7" xfId="0" applyFont="1" applyFill="1" applyBorder="1" applyAlignment="1" applyProtection="1">
      <alignment horizontal="left" vertical="center" indent="1"/>
      <protection hidden="1"/>
    </xf>
    <xf numFmtId="0" fontId="10" fillId="3" borderId="7" xfId="0" applyFont="1" applyFill="1" applyBorder="1" applyAlignment="1" applyProtection="1">
      <alignment horizontal="left" vertical="center" indent="1"/>
      <protection hidden="1"/>
    </xf>
    <xf numFmtId="0" fontId="19" fillId="3" borderId="7" xfId="0" applyFont="1" applyFill="1" applyBorder="1" applyAlignment="1" applyProtection="1">
      <alignment horizontal="left" vertical="center" indent="1"/>
      <protection hidden="1"/>
    </xf>
    <xf numFmtId="0" fontId="9" fillId="4" borderId="0" xfId="0" applyFont="1" applyFill="1" applyBorder="1" applyAlignment="1" applyProtection="1">
      <alignment horizontal="left" vertical="center" indent="1"/>
      <protection hidden="1"/>
    </xf>
    <xf numFmtId="0" fontId="2" fillId="4" borderId="0" xfId="0" applyFont="1" applyFill="1" applyBorder="1" applyAlignment="1" applyProtection="1">
      <alignment horizontal="left" vertical="center" indent="1"/>
      <protection hidden="1"/>
    </xf>
    <xf numFmtId="0" fontId="10" fillId="3" borderId="8" xfId="0" applyFont="1" applyFill="1" applyBorder="1" applyAlignment="1" applyProtection="1">
      <alignment horizontal="left" vertical="center" indent="1"/>
      <protection hidden="1"/>
    </xf>
    <xf numFmtId="0" fontId="2" fillId="4" borderId="4" xfId="0" applyFont="1" applyFill="1" applyBorder="1" applyAlignment="1" applyProtection="1">
      <alignment horizontal="left" vertical="center" indent="1"/>
      <protection hidden="1"/>
    </xf>
    <xf numFmtId="49" fontId="16" fillId="5" borderId="0" xfId="0" applyNumberFormat="1" applyFont="1" applyFill="1" applyAlignment="1" applyProtection="1">
      <alignment vertical="center" wrapText="1"/>
      <protection locked="0"/>
    </xf>
    <xf numFmtId="49" fontId="13" fillId="5" borderId="0" xfId="0" applyNumberFormat="1" applyFont="1" applyFill="1" applyAlignment="1" applyProtection="1">
      <alignment vertical="center" wrapText="1"/>
      <protection locked="0"/>
    </xf>
  </cellXfs>
  <cellStyles count="2">
    <cellStyle name="Normal" xfId="0" builtinId="0"/>
    <cellStyle name="Normal 6" xfId="1" xr:uid="{00000000-0005-0000-0000-000001000000}"/>
  </cellStyles>
  <dxfs count="1">
    <dxf>
      <fill>
        <patternFill>
          <bgColor rgb="FFFF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G11" noThreeD="1"/>
</file>

<file path=xl/ctrlProps/ctrlProp10.xml><?xml version="1.0" encoding="utf-8"?>
<formControlPr xmlns="http://schemas.microsoft.com/office/spreadsheetml/2009/9/main" objectType="CheckBox" fmlaLink="$G$15" lockText="1" noThreeD="1"/>
</file>

<file path=xl/ctrlProps/ctrlProp11.xml><?xml version="1.0" encoding="utf-8"?>
<formControlPr xmlns="http://schemas.microsoft.com/office/spreadsheetml/2009/9/main" objectType="CheckBox" fmlaLink="$G$16" lockText="1" noThreeD="1"/>
</file>

<file path=xl/ctrlProps/ctrlProp12.xml><?xml version="1.0" encoding="utf-8"?>
<formControlPr xmlns="http://schemas.microsoft.com/office/spreadsheetml/2009/9/main" objectType="CheckBox" fmlaLink="$G$17" lockText="1" noThreeD="1"/>
</file>

<file path=xl/ctrlProps/ctrlProp13.xml><?xml version="1.0" encoding="utf-8"?>
<formControlPr xmlns="http://schemas.microsoft.com/office/spreadsheetml/2009/9/main" objectType="CheckBox" fmlaLink="$G$20" lockText="1" noThreeD="1"/>
</file>

<file path=xl/ctrlProps/ctrlProp14.xml><?xml version="1.0" encoding="utf-8"?>
<formControlPr xmlns="http://schemas.microsoft.com/office/spreadsheetml/2009/9/main" objectType="CheckBox" fmlaLink="$G$24" lockText="1" noThreeD="1"/>
</file>

<file path=xl/ctrlProps/ctrlProp15.xml><?xml version="1.0" encoding="utf-8"?>
<formControlPr xmlns="http://schemas.microsoft.com/office/spreadsheetml/2009/9/main" objectType="CheckBox" fmlaLink="$G$23" lockText="1" noThreeD="1"/>
</file>

<file path=xl/ctrlProps/ctrlProp16.xml><?xml version="1.0" encoding="utf-8"?>
<formControlPr xmlns="http://schemas.microsoft.com/office/spreadsheetml/2009/9/main" objectType="CheckBox" fmlaLink="$G$27" lockText="1" noThreeD="1"/>
</file>

<file path=xl/ctrlProps/ctrlProp17.xml><?xml version="1.0" encoding="utf-8"?>
<formControlPr xmlns="http://schemas.microsoft.com/office/spreadsheetml/2009/9/main" objectType="CheckBox" fmlaLink="$G$28" lockText="1" noThreeD="1"/>
</file>

<file path=xl/ctrlProps/ctrlProp2.xml><?xml version="1.0" encoding="utf-8"?>
<formControlPr xmlns="http://schemas.microsoft.com/office/spreadsheetml/2009/9/main" objectType="CheckBox" fmlaLink="G12" noThreeD="1"/>
</file>

<file path=xl/ctrlProps/ctrlProp3.xml><?xml version="1.0" encoding="utf-8"?>
<formControlPr xmlns="http://schemas.microsoft.com/office/spreadsheetml/2009/9/main" objectType="CheckBox" fmlaLink="$G$19" lockText="1" noThreeD="1"/>
</file>

<file path=xl/ctrlProps/ctrlProp4.xml><?xml version="1.0" encoding="utf-8"?>
<formControlPr xmlns="http://schemas.microsoft.com/office/spreadsheetml/2009/9/main" objectType="CheckBox" fmlaLink="$G$21" lockText="1" noThreeD="1"/>
</file>

<file path=xl/ctrlProps/ctrlProp5.xml><?xml version="1.0" encoding="utf-8"?>
<formControlPr xmlns="http://schemas.microsoft.com/office/spreadsheetml/2009/9/main" objectType="CheckBox" fmlaLink="$G$30" lockText="1" noThreeD="1"/>
</file>

<file path=xl/ctrlProps/ctrlProp6.xml><?xml version="1.0" encoding="utf-8"?>
<formControlPr xmlns="http://schemas.microsoft.com/office/spreadsheetml/2009/9/main" objectType="CheckBox" fmlaLink="$G$26" lockText="1" noThreeD="1"/>
</file>

<file path=xl/ctrlProps/ctrlProp7.xml><?xml version="1.0" encoding="utf-8"?>
<formControlPr xmlns="http://schemas.microsoft.com/office/spreadsheetml/2009/9/main" objectType="CheckBox" fmlaLink="'data sources'!$E$24" lockText="1" noThreeD="1"/>
</file>

<file path=xl/ctrlProps/ctrlProp8.xml><?xml version="1.0" encoding="utf-8"?>
<formControlPr xmlns="http://schemas.microsoft.com/office/spreadsheetml/2009/9/main" objectType="CheckBox" fmlaLink="$G$13" noThreeD="1"/>
</file>

<file path=xl/ctrlProps/ctrlProp9.xml><?xml version="1.0" encoding="utf-8"?>
<formControlPr xmlns="http://schemas.microsoft.com/office/spreadsheetml/2009/9/main" objectType="CheckBox" fmlaLink="$G$14"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0</xdr:row>
      <xdr:rowOff>38101</xdr:rowOff>
    </xdr:from>
    <xdr:to>
      <xdr:col>1</xdr:col>
      <xdr:colOff>2069244</xdr:colOff>
      <xdr:row>0</xdr:row>
      <xdr:rowOff>1019176</xdr:rowOff>
    </xdr:to>
    <xdr:pic>
      <xdr:nvPicPr>
        <xdr:cNvPr id="42" name="Picture 41">
          <a:extLst>
            <a:ext uri="{FF2B5EF4-FFF2-40B4-BE49-F238E27FC236}">
              <a16:creationId xmlns:a16="http://schemas.microsoft.com/office/drawing/2014/main" id="{00000000-0008-0000-0000-00002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8101"/>
          <a:ext cx="3110230" cy="98107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10</xdr:row>
          <xdr:rowOff>127000</xdr:rowOff>
        </xdr:from>
        <xdr:to>
          <xdr:col>2</xdr:col>
          <xdr:colOff>247650</xdr:colOff>
          <xdr:row>10</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AU" sz="1100" b="0" i="0" u="none" strike="noStrike" baseline="0">
                  <a:solidFill>
                    <a:srgbClr val="000000"/>
                  </a:solidFill>
                  <a:latin typeface="Calibri"/>
                  <a:cs typeface="Calibri"/>
                </a:rPr>
                <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11</xdr:row>
          <xdr:rowOff>127000</xdr:rowOff>
        </xdr:from>
        <xdr:to>
          <xdr:col>2</xdr:col>
          <xdr:colOff>276225</xdr:colOff>
          <xdr:row>11</xdr:row>
          <xdr:rowOff>333375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xdr:row>
          <xdr:rowOff>88900</xdr:rowOff>
        </xdr:from>
        <xdr:to>
          <xdr:col>2</xdr:col>
          <xdr:colOff>276225</xdr:colOff>
          <xdr:row>18</xdr:row>
          <xdr:rowOff>295275</xdr:rowOff>
        </xdr:to>
        <xdr:sp macro="" textlink="">
          <xdr:nvSpPr>
            <xdr:cNvPr id="1039" name="Check Box 15" descr="roll over and show me&#10;"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20</xdr:row>
          <xdr:rowOff>76200</xdr:rowOff>
        </xdr:from>
        <xdr:to>
          <xdr:col>2</xdr:col>
          <xdr:colOff>276225</xdr:colOff>
          <xdr:row>20</xdr:row>
          <xdr:rowOff>285750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3884543</xdr:colOff>
      <xdr:row>10</xdr:row>
      <xdr:rowOff>74544</xdr:rowOff>
    </xdr:from>
    <xdr:to>
      <xdr:col>2</xdr:col>
      <xdr:colOff>49696</xdr:colOff>
      <xdr:row>10</xdr:row>
      <xdr:rowOff>289892</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474804" y="4224131"/>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29</xdr:row>
          <xdr:rowOff>69850</xdr:rowOff>
        </xdr:from>
        <xdr:to>
          <xdr:col>2</xdr:col>
          <xdr:colOff>276225</xdr:colOff>
          <xdr:row>29</xdr:row>
          <xdr:rowOff>276225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25</xdr:row>
          <xdr:rowOff>76200</xdr:rowOff>
        </xdr:from>
        <xdr:to>
          <xdr:col>2</xdr:col>
          <xdr:colOff>276225</xdr:colOff>
          <xdr:row>25</xdr:row>
          <xdr:rowOff>285750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76200</xdr:rowOff>
        </xdr:from>
        <xdr:to>
          <xdr:col>2</xdr:col>
          <xdr:colOff>266700</xdr:colOff>
          <xdr:row>8</xdr:row>
          <xdr:rowOff>285750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12</xdr:row>
          <xdr:rowOff>127000</xdr:rowOff>
        </xdr:from>
        <xdr:to>
          <xdr:col>2</xdr:col>
          <xdr:colOff>276225</xdr:colOff>
          <xdr:row>12</xdr:row>
          <xdr:rowOff>333375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13</xdr:row>
          <xdr:rowOff>127000</xdr:rowOff>
        </xdr:from>
        <xdr:to>
          <xdr:col>2</xdr:col>
          <xdr:colOff>276225</xdr:colOff>
          <xdr:row>13</xdr:row>
          <xdr:rowOff>333375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14</xdr:row>
          <xdr:rowOff>127000</xdr:rowOff>
        </xdr:from>
        <xdr:to>
          <xdr:col>2</xdr:col>
          <xdr:colOff>276225</xdr:colOff>
          <xdr:row>14</xdr:row>
          <xdr:rowOff>333375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15</xdr:row>
          <xdr:rowOff>127000</xdr:rowOff>
        </xdr:from>
        <xdr:to>
          <xdr:col>2</xdr:col>
          <xdr:colOff>276225</xdr:colOff>
          <xdr:row>15</xdr:row>
          <xdr:rowOff>333375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16</xdr:row>
          <xdr:rowOff>127000</xdr:rowOff>
        </xdr:from>
        <xdr:to>
          <xdr:col>2</xdr:col>
          <xdr:colOff>276225</xdr:colOff>
          <xdr:row>16</xdr:row>
          <xdr:rowOff>333375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88900</xdr:rowOff>
        </xdr:from>
        <xdr:to>
          <xdr:col>2</xdr:col>
          <xdr:colOff>276225</xdr:colOff>
          <xdr:row>19</xdr:row>
          <xdr:rowOff>295275</xdr:rowOff>
        </xdr:to>
        <xdr:sp macro="" textlink="">
          <xdr:nvSpPr>
            <xdr:cNvPr id="1121" name="Check Box 97" descr="roll over and show me&#10;"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xdr:row>
          <xdr:rowOff>69850</xdr:rowOff>
        </xdr:from>
        <xdr:to>
          <xdr:col>2</xdr:col>
          <xdr:colOff>276225</xdr:colOff>
          <xdr:row>23</xdr:row>
          <xdr:rowOff>276225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22</xdr:row>
          <xdr:rowOff>76200</xdr:rowOff>
        </xdr:from>
        <xdr:to>
          <xdr:col>2</xdr:col>
          <xdr:colOff>276225</xdr:colOff>
          <xdr:row>22</xdr:row>
          <xdr:rowOff>285750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26</xdr:row>
          <xdr:rowOff>76200</xdr:rowOff>
        </xdr:from>
        <xdr:to>
          <xdr:col>2</xdr:col>
          <xdr:colOff>276225</xdr:colOff>
          <xdr:row>26</xdr:row>
          <xdr:rowOff>285750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27</xdr:row>
          <xdr:rowOff>76200</xdr:rowOff>
        </xdr:from>
        <xdr:to>
          <xdr:col>2</xdr:col>
          <xdr:colOff>276225</xdr:colOff>
          <xdr:row>27</xdr:row>
          <xdr:rowOff>285750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3255065</xdr:colOff>
      <xdr:row>8</xdr:row>
      <xdr:rowOff>74544</xdr:rowOff>
    </xdr:from>
    <xdr:to>
      <xdr:col>2</xdr:col>
      <xdr:colOff>49697</xdr:colOff>
      <xdr:row>8</xdr:row>
      <xdr:rowOff>289892</xdr:rowOff>
    </xdr:to>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4845326" y="3462131"/>
          <a:ext cx="1565414"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change the voltage</a:t>
          </a:r>
          <a:r>
            <a:rPr lang="en-AU" sz="600" baseline="0">
              <a:latin typeface="Franklin Gothic Book" panose="020B0503020102020204" pitchFamily="34" charset="0"/>
            </a:rPr>
            <a:t> to 110V</a:t>
          </a:r>
          <a:endParaRPr lang="en-AU" sz="600">
            <a:latin typeface="Franklin Gothic Book" panose="020B0503020102020204" pitchFamily="34" charset="0"/>
          </a:endParaRPr>
        </a:p>
      </xdr:txBody>
    </xdr:sp>
    <xdr:clientData/>
  </xdr:twoCellAnchor>
  <xdr:twoCellAnchor>
    <xdr:from>
      <xdr:col>1</xdr:col>
      <xdr:colOff>3892826</xdr:colOff>
      <xdr:row>11</xdr:row>
      <xdr:rowOff>94905</xdr:rowOff>
    </xdr:from>
    <xdr:to>
      <xdr:col>2</xdr:col>
      <xdr:colOff>57979</xdr:colOff>
      <xdr:row>11</xdr:row>
      <xdr:rowOff>310253</xdr:rowOff>
    </xdr:to>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5483087" y="4741448"/>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3892827</xdr:colOff>
      <xdr:row>12</xdr:row>
      <xdr:rowOff>88346</xdr:rowOff>
    </xdr:from>
    <xdr:to>
      <xdr:col>2</xdr:col>
      <xdr:colOff>57980</xdr:colOff>
      <xdr:row>12</xdr:row>
      <xdr:rowOff>303694</xdr:rowOff>
    </xdr:to>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5483088" y="5231846"/>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3892827</xdr:colOff>
      <xdr:row>13</xdr:row>
      <xdr:rowOff>99390</xdr:rowOff>
    </xdr:from>
    <xdr:to>
      <xdr:col>2</xdr:col>
      <xdr:colOff>57980</xdr:colOff>
      <xdr:row>13</xdr:row>
      <xdr:rowOff>314738</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5483088" y="5739847"/>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3892825</xdr:colOff>
      <xdr:row>14</xdr:row>
      <xdr:rowOff>82826</xdr:rowOff>
    </xdr:from>
    <xdr:to>
      <xdr:col>2</xdr:col>
      <xdr:colOff>57978</xdr:colOff>
      <xdr:row>14</xdr:row>
      <xdr:rowOff>298174</xdr:rowOff>
    </xdr:to>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5483086" y="6220239"/>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3896138</xdr:colOff>
      <xdr:row>15</xdr:row>
      <xdr:rowOff>94422</xdr:rowOff>
    </xdr:from>
    <xdr:to>
      <xdr:col>2</xdr:col>
      <xdr:colOff>61291</xdr:colOff>
      <xdr:row>15</xdr:row>
      <xdr:rowOff>309770</xdr:rowOff>
    </xdr:to>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5486399" y="6728792"/>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3891168</xdr:colOff>
      <xdr:row>16</xdr:row>
      <xdr:rowOff>89453</xdr:rowOff>
    </xdr:from>
    <xdr:to>
      <xdr:col>2</xdr:col>
      <xdr:colOff>56321</xdr:colOff>
      <xdr:row>16</xdr:row>
      <xdr:rowOff>304801</xdr:rowOff>
    </xdr:to>
    <xdr:sp macro="" textlink="">
      <xdr:nvSpPr>
        <xdr:cNvPr id="46" name="TextBox 45">
          <a:extLst>
            <a:ext uri="{FF2B5EF4-FFF2-40B4-BE49-F238E27FC236}">
              <a16:creationId xmlns:a16="http://schemas.microsoft.com/office/drawing/2014/main" id="{00000000-0008-0000-0000-00002E000000}"/>
            </a:ext>
          </a:extLst>
        </xdr:cNvPr>
        <xdr:cNvSpPr txBox="1"/>
      </xdr:nvSpPr>
      <xdr:spPr>
        <a:xfrm>
          <a:off x="5481429" y="7220779"/>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3892826</xdr:colOff>
      <xdr:row>18</xdr:row>
      <xdr:rowOff>91108</xdr:rowOff>
    </xdr:from>
    <xdr:to>
      <xdr:col>2</xdr:col>
      <xdr:colOff>57979</xdr:colOff>
      <xdr:row>18</xdr:row>
      <xdr:rowOff>306456</xdr:rowOff>
    </xdr:to>
    <xdr:sp macro="" textlink="">
      <xdr:nvSpPr>
        <xdr:cNvPr id="47" name="TextBox 46">
          <a:extLst>
            <a:ext uri="{FF2B5EF4-FFF2-40B4-BE49-F238E27FC236}">
              <a16:creationId xmlns:a16="http://schemas.microsoft.com/office/drawing/2014/main" id="{00000000-0008-0000-0000-00002F000000}"/>
            </a:ext>
          </a:extLst>
        </xdr:cNvPr>
        <xdr:cNvSpPr txBox="1"/>
      </xdr:nvSpPr>
      <xdr:spPr>
        <a:xfrm>
          <a:off x="5483087" y="8100391"/>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3904422</xdr:colOff>
      <xdr:row>19</xdr:row>
      <xdr:rowOff>94421</xdr:rowOff>
    </xdr:from>
    <xdr:to>
      <xdr:col>2</xdr:col>
      <xdr:colOff>69575</xdr:colOff>
      <xdr:row>19</xdr:row>
      <xdr:rowOff>309769</xdr:rowOff>
    </xdr:to>
    <xdr:sp macro="" textlink="">
      <xdr:nvSpPr>
        <xdr:cNvPr id="48" name="TextBox 47">
          <a:extLst>
            <a:ext uri="{FF2B5EF4-FFF2-40B4-BE49-F238E27FC236}">
              <a16:creationId xmlns:a16="http://schemas.microsoft.com/office/drawing/2014/main" id="{00000000-0008-0000-0000-000030000000}"/>
            </a:ext>
          </a:extLst>
        </xdr:cNvPr>
        <xdr:cNvSpPr txBox="1"/>
      </xdr:nvSpPr>
      <xdr:spPr>
        <a:xfrm>
          <a:off x="5494683" y="8484704"/>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3899453</xdr:colOff>
      <xdr:row>20</xdr:row>
      <xdr:rowOff>81169</xdr:rowOff>
    </xdr:from>
    <xdr:to>
      <xdr:col>2</xdr:col>
      <xdr:colOff>64606</xdr:colOff>
      <xdr:row>20</xdr:row>
      <xdr:rowOff>296517</xdr:rowOff>
    </xdr:to>
    <xdr:sp macro="" textlink="">
      <xdr:nvSpPr>
        <xdr:cNvPr id="50" name="TextBox 49">
          <a:extLst>
            <a:ext uri="{FF2B5EF4-FFF2-40B4-BE49-F238E27FC236}">
              <a16:creationId xmlns:a16="http://schemas.microsoft.com/office/drawing/2014/main" id="{00000000-0008-0000-0000-000032000000}"/>
            </a:ext>
          </a:extLst>
        </xdr:cNvPr>
        <xdr:cNvSpPr txBox="1"/>
      </xdr:nvSpPr>
      <xdr:spPr>
        <a:xfrm>
          <a:off x="5489714" y="8852452"/>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3911048</xdr:colOff>
      <xdr:row>22</xdr:row>
      <xdr:rowOff>67917</xdr:rowOff>
    </xdr:from>
    <xdr:to>
      <xdr:col>2</xdr:col>
      <xdr:colOff>76201</xdr:colOff>
      <xdr:row>22</xdr:row>
      <xdr:rowOff>283265</xdr:rowOff>
    </xdr:to>
    <xdr:sp macro="" textlink="">
      <xdr:nvSpPr>
        <xdr:cNvPr id="51" name="TextBox 50">
          <a:extLst>
            <a:ext uri="{FF2B5EF4-FFF2-40B4-BE49-F238E27FC236}">
              <a16:creationId xmlns:a16="http://schemas.microsoft.com/office/drawing/2014/main" id="{00000000-0008-0000-0000-000033000000}"/>
            </a:ext>
          </a:extLst>
        </xdr:cNvPr>
        <xdr:cNvSpPr txBox="1"/>
      </xdr:nvSpPr>
      <xdr:spPr>
        <a:xfrm>
          <a:off x="5501309" y="9601200"/>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3906078</xdr:colOff>
      <xdr:row>23</xdr:row>
      <xdr:rowOff>62948</xdr:rowOff>
    </xdr:from>
    <xdr:to>
      <xdr:col>2</xdr:col>
      <xdr:colOff>71231</xdr:colOff>
      <xdr:row>23</xdr:row>
      <xdr:rowOff>278296</xdr:rowOff>
    </xdr:to>
    <xdr:sp macro="" textlink="">
      <xdr:nvSpPr>
        <xdr:cNvPr id="52" name="TextBox 51">
          <a:extLst>
            <a:ext uri="{FF2B5EF4-FFF2-40B4-BE49-F238E27FC236}">
              <a16:creationId xmlns:a16="http://schemas.microsoft.com/office/drawing/2014/main" id="{00000000-0008-0000-0000-000034000000}"/>
            </a:ext>
          </a:extLst>
        </xdr:cNvPr>
        <xdr:cNvSpPr txBox="1"/>
      </xdr:nvSpPr>
      <xdr:spPr>
        <a:xfrm>
          <a:off x="5496339" y="9977231"/>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3901109</xdr:colOff>
      <xdr:row>25</xdr:row>
      <xdr:rowOff>66261</xdr:rowOff>
    </xdr:from>
    <xdr:to>
      <xdr:col>2</xdr:col>
      <xdr:colOff>66262</xdr:colOff>
      <xdr:row>25</xdr:row>
      <xdr:rowOff>281609</xdr:rowOff>
    </xdr:to>
    <xdr:sp macro="" textlink="">
      <xdr:nvSpPr>
        <xdr:cNvPr id="53" name="TextBox 52">
          <a:extLst>
            <a:ext uri="{FF2B5EF4-FFF2-40B4-BE49-F238E27FC236}">
              <a16:creationId xmlns:a16="http://schemas.microsoft.com/office/drawing/2014/main" id="{00000000-0008-0000-0000-000035000000}"/>
            </a:ext>
          </a:extLst>
        </xdr:cNvPr>
        <xdr:cNvSpPr txBox="1"/>
      </xdr:nvSpPr>
      <xdr:spPr>
        <a:xfrm>
          <a:off x="5491370" y="10742544"/>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3896140</xdr:colOff>
      <xdr:row>26</xdr:row>
      <xdr:rowOff>61292</xdr:rowOff>
    </xdr:from>
    <xdr:to>
      <xdr:col>2</xdr:col>
      <xdr:colOff>61293</xdr:colOff>
      <xdr:row>26</xdr:row>
      <xdr:rowOff>276640</xdr:rowOff>
    </xdr:to>
    <xdr:sp macro="" textlink="">
      <xdr:nvSpPr>
        <xdr:cNvPr id="54" name="TextBox 53">
          <a:extLst>
            <a:ext uri="{FF2B5EF4-FFF2-40B4-BE49-F238E27FC236}">
              <a16:creationId xmlns:a16="http://schemas.microsoft.com/office/drawing/2014/main" id="{00000000-0008-0000-0000-000036000000}"/>
            </a:ext>
          </a:extLst>
        </xdr:cNvPr>
        <xdr:cNvSpPr txBox="1"/>
      </xdr:nvSpPr>
      <xdr:spPr>
        <a:xfrm>
          <a:off x="5486401" y="11118575"/>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3907736</xdr:colOff>
      <xdr:row>27</xdr:row>
      <xdr:rowOff>72888</xdr:rowOff>
    </xdr:from>
    <xdr:to>
      <xdr:col>2</xdr:col>
      <xdr:colOff>72889</xdr:colOff>
      <xdr:row>27</xdr:row>
      <xdr:rowOff>288236</xdr:rowOff>
    </xdr:to>
    <xdr:sp macro="" textlink="">
      <xdr:nvSpPr>
        <xdr:cNvPr id="55" name="TextBox 54">
          <a:extLst>
            <a:ext uri="{FF2B5EF4-FFF2-40B4-BE49-F238E27FC236}">
              <a16:creationId xmlns:a16="http://schemas.microsoft.com/office/drawing/2014/main" id="{00000000-0008-0000-0000-000037000000}"/>
            </a:ext>
          </a:extLst>
        </xdr:cNvPr>
        <xdr:cNvSpPr txBox="1"/>
      </xdr:nvSpPr>
      <xdr:spPr>
        <a:xfrm>
          <a:off x="5497997" y="11511171"/>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twoCellAnchor>
    <xdr:from>
      <xdr:col>1</xdr:col>
      <xdr:colOff>3919332</xdr:colOff>
      <xdr:row>29</xdr:row>
      <xdr:rowOff>84484</xdr:rowOff>
    </xdr:from>
    <xdr:to>
      <xdr:col>2</xdr:col>
      <xdr:colOff>84485</xdr:colOff>
      <xdr:row>29</xdr:row>
      <xdr:rowOff>299832</xdr:rowOff>
    </xdr:to>
    <xdr:sp macro="" textlink="">
      <xdr:nvSpPr>
        <xdr:cNvPr id="56" name="TextBox 55">
          <a:extLst>
            <a:ext uri="{FF2B5EF4-FFF2-40B4-BE49-F238E27FC236}">
              <a16:creationId xmlns:a16="http://schemas.microsoft.com/office/drawing/2014/main" id="{00000000-0008-0000-0000-000038000000}"/>
            </a:ext>
          </a:extLst>
        </xdr:cNvPr>
        <xdr:cNvSpPr txBox="1"/>
      </xdr:nvSpPr>
      <xdr:spPr>
        <a:xfrm>
          <a:off x="5509593" y="12284767"/>
          <a:ext cx="935935"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46800" rIns="0" rtlCol="0" anchor="t"/>
        <a:lstStyle/>
        <a:p>
          <a:r>
            <a:rPr lang="en-AU" sz="600">
              <a:latin typeface="Franklin Gothic Book" panose="020B0503020102020204" pitchFamily="34" charset="0"/>
            </a:rPr>
            <a:t>check box to add option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33"/>
  <sheetViews>
    <sheetView tabSelected="1" zoomScale="85" zoomScaleNormal="85" workbookViewId="0">
      <selection activeCell="G7" sqref="G7"/>
    </sheetView>
  </sheetViews>
  <sheetFormatPr defaultColWidth="0" defaultRowHeight="15" zeroHeight="1"/>
  <cols>
    <col min="1" max="1" width="23.81640625" style="16" bestFit="1" customWidth="1"/>
    <col min="2" max="2" width="71.54296875" style="8" customWidth="1"/>
    <col min="3" max="3" width="5.1796875" customWidth="1"/>
    <col min="4" max="4" width="78.81640625" customWidth="1"/>
    <col min="5" max="5" width="71.54296875" style="7" hidden="1" customWidth="1"/>
    <col min="6" max="6" width="21.7265625" style="6" customWidth="1"/>
    <col min="7" max="7" width="32.54296875" style="17" customWidth="1"/>
    <col min="8" max="16384" width="9.1796875" hidden="1"/>
  </cols>
  <sheetData>
    <row r="1" spans="1:7" ht="85.5" customHeight="1">
      <c r="B1" s="35"/>
      <c r="C1" s="35"/>
      <c r="D1" s="35"/>
      <c r="E1" s="35"/>
      <c r="F1" s="16"/>
    </row>
    <row r="2" spans="1:7">
      <c r="B2" s="18" t="s">
        <v>28</v>
      </c>
      <c r="C2" s="16"/>
      <c r="D2" s="16"/>
      <c r="E2" s="19"/>
      <c r="F2" s="20"/>
    </row>
    <row r="3" spans="1:7">
      <c r="B3" s="18"/>
      <c r="C3" s="16"/>
      <c r="D3" s="16"/>
      <c r="E3" s="19"/>
      <c r="F3" s="20"/>
    </row>
    <row r="4" spans="1:7" ht="30" customHeight="1">
      <c r="B4" s="38" t="s">
        <v>27</v>
      </c>
      <c r="C4" s="39"/>
      <c r="D4" s="39"/>
      <c r="E4" s="39"/>
      <c r="F4" s="39"/>
    </row>
    <row r="5" spans="1:7" ht="30" customHeight="1">
      <c r="B5" s="36" t="s">
        <v>6</v>
      </c>
      <c r="C5" s="37"/>
      <c r="D5" s="37"/>
      <c r="E5" s="37"/>
      <c r="F5" s="13" t="s">
        <v>8</v>
      </c>
    </row>
    <row r="6" spans="1:7" ht="48.75" customHeight="1">
      <c r="A6" s="21"/>
      <c r="B6" s="11" t="s">
        <v>16</v>
      </c>
      <c r="C6" s="4"/>
      <c r="D6" s="9" t="s">
        <v>195</v>
      </c>
      <c r="E6" s="9" t="s">
        <v>21</v>
      </c>
      <c r="F6" s="43" t="str">
        <f>IF(D6='data sources'!D4,"",IF(ISNA(INDEX(product_codes, MATCH(D6, product_names,0))), "", INDEX(product_codes, MATCH(D6, product_names,0))))</f>
        <v/>
      </c>
    </row>
    <row r="7" spans="1:7" ht="30" customHeight="1">
      <c r="A7" s="21"/>
      <c r="B7" s="12" t="s">
        <v>169</v>
      </c>
      <c r="C7" s="14"/>
      <c r="D7" s="9" t="str">
        <f>IF(D6='data sources'!D4,"",VLOOKUP(D6,GAS,2,FALSE))</f>
        <v/>
      </c>
      <c r="E7" s="9" t="str">
        <f>VLOOKUP(E6,GAS,2,FALSE)</f>
        <v>NO2</v>
      </c>
      <c r="F7" s="43"/>
    </row>
    <row r="8" spans="1:7" ht="30" customHeight="1">
      <c r="A8" s="21"/>
      <c r="B8" s="12" t="s">
        <v>106</v>
      </c>
      <c r="C8" s="14"/>
      <c r="D8" s="9" t="s">
        <v>7</v>
      </c>
      <c r="E8" s="9" t="s">
        <v>111</v>
      </c>
      <c r="F8" s="43" t="str">
        <f>IF(D6='data sources'!D4,"",IF(D8="High",VLOOKUP(D6,High_Range,2,TRUE),IF(D8="Trace",VLOOKUP(D6,Trace_Range,2,TRUE),IF(D8="Standard",VLOOKUP(D6,Standard_Range,2,TRUE),""))))</f>
        <v/>
      </c>
      <c r="G8" s="29"/>
    </row>
    <row r="9" spans="1:7" ht="30" customHeight="1">
      <c r="A9" s="21"/>
      <c r="B9" s="12" t="s">
        <v>151</v>
      </c>
      <c r="C9" s="14"/>
      <c r="D9" s="9" t="str">
        <f>IF(D6='data sources'!D4,"",IF('data sources'!E24, 'data sources'!D24, IF('data sources'!E25, 'data sources'!D25, "")))</f>
        <v/>
      </c>
      <c r="E9" s="9" t="str">
        <f>IF('data sources'!E24, 'data sources'!D24, IF('data sources'!E25, 'data sources'!D25, ""))</f>
        <v>240 V</v>
      </c>
      <c r="F9" s="44"/>
    </row>
    <row r="10" spans="1:7" ht="30" customHeight="1">
      <c r="B10" s="33" t="s">
        <v>107</v>
      </c>
      <c r="C10" s="34"/>
      <c r="D10" s="34"/>
      <c r="E10" s="34"/>
      <c r="F10" s="34"/>
    </row>
    <row r="11" spans="1:7" ht="39" customHeight="1">
      <c r="B11" s="41" t="str">
        <f>IF(D6='data sources'!D5,IF(OR(G13=TRUE, G14=TRUE),"",'data sources'!K5),IF(D6='data sources'!D6,'data sources'!K12,IF(D6='data sources'!D7,'data sources'!K90,IF(D6='data sources'!D8,IF(D8="Trace","",IF(E14="",'data sources'!K21,"")),IF(D6='data sources'!D9,'data sources'!K31,IF(D6='data sources'!D10,IF(G14=TRUE,"",'data sources'!K39),IF(D6='data sources'!D11,'data sources'!K48,IF(D6='data sources'!D12,'data sources'!K55,IF(D6='data sources'!D13,'data sources'!K63,IF(D6='data sources'!D14,'data sources'!K73,IF(D6='data sources'!D15,'data sources'!K83,"")))))))))))</f>
        <v/>
      </c>
      <c r="C11" s="48"/>
      <c r="D11" s="40" t="str">
        <f>IF(B11="","",IF(G11=TRUE,IF(D6="Serinus 10","KNF internal pump, stop valve, flow block with restrictor and bypass coil installed into the instrument. Low power consumption and quiet. Average life span of 6 months to 1 year. Pump rebuild kit available (see Accessories and Service Kits).",IF(D6="Serinus 30","KNF internal pump, stop valve and flow block with restrictor installed into the instrument. Low power consumption and quiet. Average life span of 6 months to 1 year. Pump rebuild kit available (see Accessories and Service Kits).",IF(D6="Serinus 31","KNF internal pump, stop valve and flow block with restrictor installed into the instrument. Low power consumption and quiet. Average life span of 6 months to 1 year. Pump rebuild kit available (see Accessories and Service Kits).",IF(D6="Serinus 40","TBA",IF(D6="Serinus 44","Used as an aid to test the function of the PMT when using the optic test. ",IF(D6="Serinus 50",CONCATENATE("KNF internal pump, stop valve, flow block with restrictor and bypass orifice with DFU installed into the instrument. Low power consumption and quiet. Average life span of 6 months to 1 year."," Pump rebuild kit available (see Accessories and Service Kits). Note:- instrument is plumbed different to standard S50"),IF(D6="Serinus 51","Used as an aid to test the function of the PMT when using the optic test. ",IF(D6="Serinus 55",CONCATENATE("KNF internal pump, stop valve, flow block with restrictor and bypass orifice with DFU installed into the instrument. Low power consumption and quiet. Average life span of 6 months to 1 year."," Pump rebuild kit available (see Accessories and Service Kits). Note:- instrument is plumbed different to standard S55"),IF(D6="Serinus 56",CONCATENATE("KNF internal pump, stop valve, flow block with restrictor and bypass orifice with DFU installed into the instrument. Low power consumption and quiet. Average life span of 6 months to 1 year."," Pump rebuild kit available (see Accessories and Service Kits). Note:- instrument is plumbed different to standard S56"),IF(D6="Serinus 57",CONCATENATE("KNF internal pump, stop valve, flow block with restrictor and bypass orifice with DFU installed into the instrument. Low power consumption and quiet. Average life span of 6 months to 1 year."," Pump rebuild kit available (see Accessories and Service Kits). Note:- instrument is plumbed different to standard S57"),IF(D6="Serinus 60","KNF internal pump, stop valve and flow block installed into the instrument. Low power consumption and quiet. Average life span of 6 months to 1 year. Pump rebuild kit available (see Accessories and Service Kits).",""))))))))))),""))</f>
        <v/>
      </c>
      <c r="E11" s="43" t="str">
        <f>IF(G11,B11,"")</f>
        <v/>
      </c>
      <c r="F11" s="43" t="str">
        <f>IF(ISNA(INDEX(product_codes, MATCH(E11, product_names,0))), "", INDEX(product_codes, MATCH(E11, product_names,0)))</f>
        <v/>
      </c>
      <c r="G11" s="49" t="b">
        <v>0</v>
      </c>
    </row>
    <row r="12" spans="1:7" ht="39" customHeight="1">
      <c r="B12" s="41" t="str">
        <f>IF(D6='data sources'!D5,'data sources'!K6,IF(D6='data sources'!D6,'data sources'!K13,IF(D6='data sources'!D7,'data sources'!K91,IF(D6='data sources'!D8,'data sources'!K22,IF(D6='data sources'!D9,'data sources'!K32,IF(D6='data sources'!D10,'data sources'!K40,IF(D6='data sources'!D11,'data sources'!K49,IF(D6='data sources'!D12,'data sources'!K56,IF(D6='data sources'!D13,'data sources'!K64,IF(D6='data sources'!D14,'data sources'!K74,IF(D6='data sources'!D15,'data sources'!K84,"")))))))))))</f>
        <v/>
      </c>
      <c r="C12" s="48"/>
      <c r="D12" s="40" t="str">
        <f>IF(B12="","",IF(G12=TRUE,IF(D6="Serinus 10","This is a hard copy of the Serinus 10 user manual. Normally only required if requested. Note:- a soft copy of the manual is sent on the green resources USB memory stick supplied with each instrument.",IF(D6="Serinus 30","This is a hard copy of the Serinus 30 user manual. Normally only required if requested. Note:- a soft copy of the manual is sent on the green resources USB memory stick supplied with each instrument.",IF(D6="Serinus 31","This is a hard copy of the Serinus 31 user manual. Normally only required if requested. Note:- a soft copy of the manual is sent on the green resources USB memory stick supplied with each instrument.",IF(D6="Serinus 40","Used as an aid to test the function of the PMT when using the optic test.",IF(D6="Serinus 44","This is a hard copy of the Serinus 44 user manual. Normally only required if requested. Note:- a soft copy of the manual is sent on the green resources USB memory stick supplied with each instrument.",IF(D6="Serinus 50","Used as an aid to test the function of the PMT when using the optic test.",IF(D6="Serinus 51","This is a hard copy of the Serinus 51 user manual. Normally only required if requested. Note:- a soft copy of the manual is sent on the green resources USB memory stick supplied with each instrument.",IF(D6="Serinus 55","Used as an aid to test the function of the PMT when using the optic test.",IF(D6="Serinus 56","Used as an aid to test the function of the PMT when using the optic test.",IF(D6="Serinus 57","Used as an aid to test the function of the PMT when using the optic test.",IF(D6="Serinus 60","This is a hard copy of the Serinus 60 user manual. Normally only required if requested. Note:- a soft copy of the manual is sent on the green resources USB memory stick supplied with each instrument.",""))))))))))),""))</f>
        <v/>
      </c>
      <c r="E12" s="43" t="str">
        <f>IF(G12,B12,"")</f>
        <v/>
      </c>
      <c r="F12" s="43" t="str">
        <f t="shared" ref="F12:F17" si="0">IF(ISNA(INDEX(product_codes, MATCH(E12, product_names,0))), "", INDEX(product_codes, MATCH(E12, product_names,0)))</f>
        <v/>
      </c>
      <c r="G12" s="49" t="b">
        <v>0</v>
      </c>
    </row>
    <row r="13" spans="1:7" ht="39" customHeight="1">
      <c r="B13" s="41" t="str">
        <f>IF(D6='data sources'!D5,IF(OR(G14=TRUE, G11=TRUE, G15=TRUE),"",'data sources'!K7),IF(D6='data sources'!D6,'data sources'!K14,IF(D6='data sources'!D7,'data sources'!K92,IF(D6='data sources'!D8,'data sources'!K23,IF(D6='data sources'!D9,'data sources'!K33,IF(D6='data sources'!D10,'data sources'!K41,IF(D6='data sources'!D11,'data sources'!K50,IF(D6='data sources'!D12,'data sources'!K57,IF(D6='data sources'!D13,'data sources'!K65,IF(D6='data sources'!D14,'data sources'!K75,IF(D6='data sources'!D15,'data sources'!K85,"")))))))))))</f>
        <v/>
      </c>
      <c r="C13" s="48"/>
      <c r="D13" s="40" t="str">
        <f>IF(B13="","",IF(G13=TRUE,IF(D6="Serinus 10",CONCATENATE("This installs the function of internal zero and span, Enabling the user to perform precision checks independently of other calibration systems. ","Note:- This is not a photometer and will still need to be calibrated against one, also due to the IZS calibration valves it is not possible to have the high pressure zero option."),IF(D6="Serinus 30","Selecting this option changes the flow rate form 1 SLPM to 3 SLPM.",IF(D6="Serinus 31","Allows the user to source their external Span directly form a gas cylinder.",IF(D6="Serinus 40","This is a hard copy of the Serinus 40 user manual. Normally only required if requested. Note:- a soft copy of the manual is sent on the green resources USB memory stick supplied with each instrument.",IF(D6="Serinus 44","Allows the user to source their external Span directly form a gas cylinder.",IF(D6="Serinus 50","This is a hard copy of the Serinus 50 user manual. Normally only required if requested. Note:- a soft copy of the manual is sent on the green resources USB memory stick supplied with each instrument.",IF(D6="Serinus 51","Allows the user to source their external Span directly form a gas cylinder.",IF(D6="Serinus 55","This is a hard copy of the Serinus 55 user manual. Normally only required if requested. Note:- a soft copy of the manual is sent on the green resources USB memory stick supplied with each instrument.",IF(D6="Serinus 56","This is a hard copy of the Serinus 56 user manual. Normally only required if requested. Note:- a soft copy of the manual is sent on the green resources USB memory stick supplied with each instrument.",IF(D6="Serinus 57","This is a hard copy of the Serinus 57 user manual. Normally only required if requested. Note:- a soft copy of the manual is sent on the green resources USB memory stick supplied with each instrument.",IF(D6="Serinus 60","Allows the user to source their external Span directly form a gas cylinder.",""))))))))))),""))</f>
        <v/>
      </c>
      <c r="E13" s="43" t="str">
        <f t="shared" ref="E13:E17" si="1">IF(G13,B13,"")</f>
        <v/>
      </c>
      <c r="F13" s="43" t="str">
        <f t="shared" si="0"/>
        <v/>
      </c>
      <c r="G13" s="49" t="b">
        <v>0</v>
      </c>
    </row>
    <row r="14" spans="1:7" ht="39" customHeight="1">
      <c r="B14" s="41" t="str">
        <f>IF(D6='data sources'!D5,IF(OR(G13=TRUE,G11=TRUE, G15=TRUE),"",'data sources'!K8),IF(D6='data sources'!D6,'data sources'!K15,IF(D6='data sources'!D7,'data sources'!K93,IF(D6='data sources'!D8,'data sources'!K24,IF(D6='data sources'!D9,'data sources'!K34,IF(D6='data sources'!D10,IF(G11=TRUE,"",'data sources'!K42),IF(D6='data sources'!D11,'data sources'!K51,IF(D6='data sources'!D12,'data sources'!K58,IF(D6='data sources'!D13,'data sources'!K66,IF(D6='data sources'!D14,'data sources'!K76,IF(D6='data sources'!D15,'data sources'!K86,"")))))))))))</f>
        <v/>
      </c>
      <c r="C14" s="46"/>
      <c r="D14" s="40" t="str">
        <f>IF(B14="","",IF(G14=TRUE,IF(D6="Serinus 10",CONCATENATE("This installs the function of internal zero, Enabling the user to perform zero precision checks independently of other calibration systems. ","Note:- This is not a photometer and will still need to be calibrated against one, also due to the IZS calibration valves it is not possible to have the high pressure zero option."),IF(D6="Serinus 30","Allows the user to source their external Span directly form a gas cylinder.",IF(D6="Serinus 31","Allows the user to source their external zero directly form a gas cylinder.",IF(D6="Serinus 40",CONCATENATE("This installs the function of internal zero and span, Enabling the user to perform precision checks independently of other calibration systems. ","Note:- This option does not include a permeation tube required for the unit to function, also due to the IZS calibration valves it is not possible to have the high pressure zero or span option."),IF(D6="Serinus 44","Allows the user to source their external zero directly form a gas cylinder.",IF(D6="Serinus 50",CONCATENATE("This installs the function of internal zero and span, Enabling the user to perform precision checks independently of other calibration systems. ","Note:- This option does not include a permeation tube required for the unit to function, Also due to the IZS calibration valves it is not possible to have the high pressure zero or span option."),IF(D6="Serinus 51","Allows the user to source their external zero directly form a gas cylinder.",IF(D6="Serinus 55","Allows the user to source their external Span directly form a gas cylinder.",IF(D6="Serinus 56","Allows the user to source their external Span directly form a gas cylinder.",IF(D6="Serinus 57","Allows the user to source their external Span directly form a gas cylinder.",IF(D6="Serinus 60","Allows the user to source their external zero directly form a gas cylinder.",""))))))))))),""))</f>
        <v/>
      </c>
      <c r="E14" s="43" t="str">
        <f t="shared" si="1"/>
        <v/>
      </c>
      <c r="F14" s="43" t="str">
        <f t="shared" si="0"/>
        <v/>
      </c>
      <c r="G14" s="49" t="b">
        <v>0</v>
      </c>
    </row>
    <row r="15" spans="1:7" ht="39" customHeight="1">
      <c r="B15" s="41" t="str">
        <f>IF(D6='data sources'!D5,IF(E13="",IF(E14="",'data sources'!K9,""),""),IF(D6='data sources'!D6,'data sources'!K16,IF(D6='data sources'!D8,'data sources'!K25,IF(D6='data sources'!D9,IF(D9="240 V",'data sources'!K35,'data sources'!K36),IF(D6='data sources'!D10,IF(G14=TRUE,"",'data sources'!K43),IF(D6='data sources'!D11,"",IF(D6='data sources'!D12,'data sources'!K59,IF(D6='data sources'!D13,'data sources'!K67,IF(D6='data sources'!D14,'data sources'!K77,IF(D6='data sources'!D15,"",""))))))))))</f>
        <v/>
      </c>
      <c r="C15" s="46"/>
      <c r="D15" s="40" t="str">
        <f>IF(B15="","",IF(G15=TRUE,IF(D6="Serinus 10","Allows the user to source their external zero directly form a gas cylinder.",IF(D6="Serinus 30","Allows the user to source their external zero directly form a gas cylinder.",IF(D6="Serinus 40","Allows the user to make a dry measure of the sample.",IF(D6="Serinus 44","If the user is not supplying their own NH3 converter this option will need to be selected for the analyser to function correctly.",IF(D6="Serinus 50","Allows the user to source their external Span directly form a gas cylinder.",IF(D6="Serinus 51","bla bla bla",IF(D6="Serinus 55","Allows the user to source their external zero directly form a gas cylinder.",IF(D6="Serinus 56","Allows the user to source their external zero directly form a gas cylinder.",IF(D6="Serinus 57","Allows the user to source their external zero directly form a gas cylinder.",IF(D6="Serinus 60","","")))))))))),""))</f>
        <v/>
      </c>
      <c r="E15" s="43" t="str">
        <f t="shared" si="1"/>
        <v/>
      </c>
      <c r="F15" s="43" t="str">
        <f t="shared" si="0"/>
        <v/>
      </c>
      <c r="G15" s="49" t="b">
        <v>0</v>
      </c>
    </row>
    <row r="16" spans="1:7" ht="39" customHeight="1">
      <c r="B16" s="41" t="str">
        <f>IF(D6='data sources'!D5,"",IF(D6='data sources'!D6,'data sources'!K17,IF(D6='data sources'!D8,IF(E14="",'data sources'!K26,""),IF(D6='data sources'!D9,"",IF(D6='data sources'!D10,IF(G14=TRUE,"",'data sources'!K44),IF(D6='data sources'!D11,"",IF(D6='data sources'!D12,"",IF(D6='data sources'!D13,IF(D9="240 V",'data sources'!K68,'data sources'!K69),IF(D6='data sources'!D14,IF(D9="240 V",'data sources'!K78,'data sources'!K79),IF(D6='data sources'!D15,"",""))))))))))</f>
        <v/>
      </c>
      <c r="C16" s="46"/>
      <c r="D16" s="42" t="str">
        <f>IF(B16="","",IF(G16=TRUE,IF(D6="Serinus 10","",IF(D6="Serinus 30","This is an external sensor that is connected to the Serinus 30 via one of the analog inputs. ",IF(D6="Serinus 40","Allows the user to source their external Span directly form a gas cylinder.",IF(D6="Serinus 44","",IF(D6="Serinus 50","Allows the user to source their external zero directly form a gas cylinder. ",IF(D6="Serinus 51","",IF(D6="Serinus 55","",IF(D6="Serinus 56","If the user is not supplying their own converter then they will need this option for the analyser to function. ",IF(D6="Serinus 57","If the user is not supplying their own converter then they will need this option for the analyser to function.",IF(D6="Serinus 60","","")))))))))),""))</f>
        <v/>
      </c>
      <c r="E16" s="43" t="str">
        <f t="shared" si="1"/>
        <v/>
      </c>
      <c r="F16" s="43" t="str">
        <f t="shared" si="0"/>
        <v/>
      </c>
      <c r="G16" s="49" t="b">
        <v>0</v>
      </c>
    </row>
    <row r="17" spans="1:7" ht="39" customHeight="1">
      <c r="B17" s="41" t="str">
        <f>IF(D6='data sources'!D5,"",IF(D6='data sources'!D6,"",IF(D6='data sources'!D8,IF(E14="",'data sources'!K27,""),IF(D6='data sources'!D9,"",IF(D6='data sources'!D10,"",IF(D6='data sources'!D11,"",IF(D6='data sources'!D12,"",IF(D6='data sources'!D13,"",IF(D6='data sources'!D14,"",IF(D6='data sources'!D15,"",""))))))))))</f>
        <v/>
      </c>
      <c r="C17" s="46"/>
      <c r="D17" s="42" t="str">
        <f>IF(B17="","",IF(G17=TRUE,IF(D6="Serinus 10","",IF(D6="Serinus 30","KNF internal pump and flow block with restrictor and bypass coil installed into the instrument. Low power consumption and quiet. Average life span of 6 months to 1 year. Pump rebuild kit available. ",IF(D6="Serinus 40","Allows the user to source their external zero directly form a gas cylinder. ",IF(D6="Serinus 44","",IF(D6="Serinus 50","",IF(D6="Serinus 51","",IF(D6="Serinus 55","",IF(D6="Serinus 56","",IF(D6="Serinus 57","",IF(D6="Serinus 60","","")))))))))),""))</f>
        <v/>
      </c>
      <c r="E17" s="43" t="str">
        <f t="shared" si="1"/>
        <v/>
      </c>
      <c r="F17" s="43" t="str">
        <f t="shared" si="0"/>
        <v/>
      </c>
      <c r="G17" s="49" t="b">
        <v>0</v>
      </c>
    </row>
    <row r="18" spans="1:7" ht="30" customHeight="1">
      <c r="B18" s="33" t="s">
        <v>191</v>
      </c>
      <c r="C18" s="34"/>
      <c r="D18" s="34"/>
      <c r="E18" s="34"/>
      <c r="F18" s="34"/>
      <c r="G18" s="50"/>
    </row>
    <row r="19" spans="1:7" ht="30" customHeight="1">
      <c r="B19" s="41" t="str">
        <f>IF(D6='data sources'!D4,"",'data sources'!B66)</f>
        <v/>
      </c>
      <c r="C19" s="5"/>
      <c r="D19" s="42" t="str">
        <f>IF(B19="","",IF(G19=TRUE,"Enables the user to connect their analyser to a network.",""))</f>
        <v/>
      </c>
      <c r="E19" s="9" t="str">
        <f>IF(G19,B19,"")</f>
        <v/>
      </c>
      <c r="F19" s="43" t="str">
        <f>IF(ISNA(INDEX(product_codes, MATCH(E19, product_names,0))), "", INDEX(product_codes, MATCH(E19, product_names,0)))</f>
        <v/>
      </c>
      <c r="G19" s="49" t="b">
        <v>0</v>
      </c>
    </row>
    <row r="20" spans="1:7" ht="30" customHeight="1">
      <c r="B20" s="41" t="str">
        <f>IF(D6='data sources'!D4,"",'data sources'!B67)</f>
        <v/>
      </c>
      <c r="C20" s="5"/>
      <c r="D20" s="42" t="str">
        <f>IF(B20="","",IF(G20=TRUE,"Enables the user to connect 6 mm tubing to the analyser.",""))</f>
        <v/>
      </c>
      <c r="E20" s="9" t="str">
        <f t="shared" ref="E20:E21" si="2">IF(G20,B20,"")</f>
        <v/>
      </c>
      <c r="F20" s="43" t="str">
        <f>IF(ISNA(INDEX(product_codes, MATCH(E20, product_names,0))), "", INDEX(product_codes, MATCH(E20, product_names,0)))</f>
        <v/>
      </c>
      <c r="G20" s="49" t="b">
        <v>0</v>
      </c>
    </row>
    <row r="21" spans="1:7" ht="30" customHeight="1">
      <c r="A21" s="21"/>
      <c r="B21" s="41" t="str">
        <f>IF(D6="Serinus 44","",IF(D6='data sources'!D4,"",'data sources'!B68))</f>
        <v/>
      </c>
      <c r="C21" s="5"/>
      <c r="D21" s="42" t="str">
        <f>IF(B21="","",IF(G21=TRUE,"Enable the user to share the particulate load over two sample filter holders",""))</f>
        <v/>
      </c>
      <c r="E21" s="9" t="str">
        <f t="shared" si="2"/>
        <v/>
      </c>
      <c r="F21" s="43" t="str">
        <f>IF(ISNA(INDEX(product_codes, MATCH(E21, product_names,0))), "", INDEX(product_codes, MATCH(E21, product_names,0)))</f>
        <v/>
      </c>
      <c r="G21" s="49" t="b">
        <v>0</v>
      </c>
    </row>
    <row r="22" spans="1:7" ht="30" customHeight="1">
      <c r="B22" s="33" t="s">
        <v>190</v>
      </c>
      <c r="C22" s="34"/>
      <c r="D22" s="34"/>
      <c r="E22" s="34"/>
      <c r="F22" s="34"/>
      <c r="G22" s="50"/>
    </row>
    <row r="23" spans="1:7" ht="30" customHeight="1">
      <c r="A23" s="21"/>
      <c r="B23" s="45" t="str">
        <f>IF(D6='data sources'!D4,"",'data sources'!B72)</f>
        <v/>
      </c>
      <c r="C23" s="14"/>
      <c r="D23" s="40" t="str">
        <f>IF(B23="","",IF(G23=TRUE," Allows the instrument to be installed smoothly into a 19 inch rack, ready for system integration. ",""))</f>
        <v/>
      </c>
      <c r="E23" s="10" t="str">
        <f>IF(G23,B23,"")</f>
        <v/>
      </c>
      <c r="F23" s="43" t="str">
        <f>IF(ISNA(INDEX(product_codes, MATCH(E23, product_names,0))), "", INDEX(product_codes, MATCH(E23, product_names,0)))</f>
        <v/>
      </c>
      <c r="G23" s="49" t="b">
        <v>0</v>
      </c>
    </row>
    <row r="24" spans="1:7" ht="30" customHeight="1">
      <c r="A24" s="21"/>
      <c r="B24" s="45" t="str">
        <f>IF(D6='data sources'!D4,"",IF(E11="S44 Test Lamp",IF(E9="240 V",IF(OR(D6="Serinus 44",AND(D6="Serinus 40",D8="Trace")),'data sources'!B76,'data sources'!B74),IF(D6="Serinus 44",'data sources'!B77,'data sources'!B75)), IF(E11="",IF(E9="240 V",IF(OR(D6="Serinus 44",AND(D6="Serinus 40",D8="Trace")),'data sources'!B76,'data sources'!B74),IF(D6="Serinus 44",'data sources'!B77,'data sources'!B75)),"")))</f>
        <v/>
      </c>
      <c r="C24" s="14"/>
      <c r="D24" s="40" t="str">
        <f>IF(B24="","",IF(G24=TRUE,IF(D6="Serinus 40","An external source of vacuum required for the instrument to function. One pump per instrument.",IF(D6="Serinus 44","An external source of vacuum required for the instrument to function. One pump per instrument.",CONCATENATE("An external source of vacuum required for the instrument to function."," In an ideal setup each instrument would have an independent pump, but it is possible to share one pump with 2-3 instruments depending on flowrate."))),""))</f>
        <v/>
      </c>
      <c r="E24" s="9" t="str">
        <f>IF(G24,B24,"")</f>
        <v/>
      </c>
      <c r="F24" s="43" t="str">
        <f>IF(ISNA(INDEX(product_codes, MATCH(E24, product_names,0))), "", INDEX(product_codes, MATCH(E24, product_names,0)))</f>
        <v/>
      </c>
      <c r="G24" s="49" t="b">
        <v>0</v>
      </c>
    </row>
    <row r="25" spans="1:7" ht="30" customHeight="1">
      <c r="A25" s="21"/>
      <c r="B25" s="33" t="s">
        <v>154</v>
      </c>
      <c r="C25" s="34"/>
      <c r="D25" s="34"/>
      <c r="E25" s="34"/>
      <c r="F25" s="34"/>
      <c r="G25" s="50"/>
    </row>
    <row r="26" spans="1:7" ht="30" customHeight="1">
      <c r="A26" s="21"/>
      <c r="B26" s="45" t="str">
        <f>IF(D6='data sources'!D4,"",'data sources'!B79)</f>
        <v/>
      </c>
      <c r="C26" s="46"/>
      <c r="D26" s="40" t="str">
        <f>IF(B26="","",IF(G26=TRUE,"Gives a basic set of specialised tools and fittings used to help service the Serinus range of analysers.",""))</f>
        <v/>
      </c>
      <c r="E26" s="47" t="str">
        <f>IF(G26,B26,"")</f>
        <v/>
      </c>
      <c r="F26" s="43" t="str">
        <f>IF(ISNA(INDEX(product_codes, MATCH(E26, product_names,0))), "", INDEX(product_codes, MATCH(E26, product_names,0)))</f>
        <v/>
      </c>
      <c r="G26" s="49" t="b">
        <v>0</v>
      </c>
    </row>
    <row r="27" spans="1:7" ht="30" customHeight="1">
      <c r="A27" s="21"/>
      <c r="B27" s="45" t="str">
        <f>IF(D6='data sources'!D5,IF(E13="S10 IZS",'data sources'!B88,'data sources'!B80),IF(D6='data sources'!D6,'data sources'!B81,IF(D6='data sources'!D7,'data sources'!B82,IF(D6='data sources'!D8,IF(E14="S40 IZS",'data sources'!B89,'data sources'!B83),IF(D6='data sources'!D9,'data sources'!B84,IF(D6='data sources'!D10,IF(E14="S50 IZS",'data sources'!B90,'data sources'!B85),IF(D6='data sources'!D11,'data sources'!B86,IF(D6='data sources'!D12,'data sources'!B87,IF(D6='data sources'!D13,'data sources'!B85,IF(D6='data sources'!D14,'data sources'!B87,IF(D6='data sources'!D15,'data sources'!B91,"")))))))))))</f>
        <v/>
      </c>
      <c r="C27" s="46"/>
      <c r="D27" s="40" t="str">
        <f>IF(B27="","",IF(G27=TRUE,"Contains all the orings required to service the instrument and some standard consumables. Note:- there are enough o-rings in each kit to allow for added options. So not all o-rings will be used.",""))</f>
        <v/>
      </c>
      <c r="E27" s="47" t="str">
        <f t="shared" ref="E27:E28" si="3">IF(G27,B27,"")</f>
        <v/>
      </c>
      <c r="F27" s="43" t="str">
        <f>IF(ISNA(INDEX(product_codes, MATCH(E27, product_names,0))), "", INDEX(product_codes, MATCH(E27, product_names,0)))</f>
        <v/>
      </c>
      <c r="G27" s="49" t="b">
        <v>0</v>
      </c>
    </row>
    <row r="28" spans="1:7" ht="30" customHeight="1">
      <c r="A28" s="21"/>
      <c r="B28" s="45" t="str">
        <f>IF(D6='data sources'!D4,"",IF(B24="External Pump 240 V",'data sources'!B95,IF(B24="External Pump 110 V",'data sources'!B95, IF(F11="Option Not Available","",IF(B24="",'data sources'!B96,IF(B24="External Double Head Pump 240 V",'data sources'!B97,IF(B24="External Double Head Pump 110 V",'data sources'!B97)))))))</f>
        <v/>
      </c>
      <c r="C28" s="46"/>
      <c r="D28" s="40" t="str">
        <f>IF(B28="","",IF(G28=TRUE,"This is the pump kit required to rebuild your pump. Extending the life of the pump for a fraction of the cost of a new one. Note:- Results of pump capacity will vary with the quality of the rebuild.",""))</f>
        <v/>
      </c>
      <c r="E28" s="43" t="str">
        <f t="shared" si="3"/>
        <v/>
      </c>
      <c r="F28" s="43" t="str">
        <f>IF(ISNA(INDEX(product_codes, MATCH(E28, product_names,0))), "", INDEX(product_codes, MATCH(E28, product_names,0)))</f>
        <v/>
      </c>
      <c r="G28" s="49" t="b">
        <v>0</v>
      </c>
    </row>
    <row r="29" spans="1:7" ht="30" customHeight="1">
      <c r="A29" s="21"/>
      <c r="B29" s="33" t="s">
        <v>15</v>
      </c>
      <c r="C29" s="34"/>
      <c r="D29" s="34"/>
      <c r="E29" s="34"/>
      <c r="F29" s="34"/>
      <c r="G29" s="50"/>
    </row>
    <row r="30" spans="1:7" ht="30" customHeight="1">
      <c r="A30" s="21"/>
      <c r="B30" s="45" t="str">
        <f>IF(D6="Serinus 10",'data sources'!B100,"")</f>
        <v/>
      </c>
      <c r="C30" s="46"/>
      <c r="D30" s="42" t="str">
        <f>IF(B30="","",IF(G30=TRUE,"The user can choose to have their instrument delevered with a NATA certificate. ",""))</f>
        <v/>
      </c>
      <c r="E30" s="47" t="str">
        <f>IF(G30,B30,"")</f>
        <v/>
      </c>
      <c r="F30" s="43" t="str">
        <f>IF(ISNA(INDEX(product_codes, MATCH(E30, product_names,0))), "", INDEX(product_codes, MATCH(E30, product_names,0)))</f>
        <v/>
      </c>
      <c r="G30" s="49" t="b">
        <v>0</v>
      </c>
    </row>
    <row r="31" spans="1:7">
      <c r="B31" s="18"/>
      <c r="C31" s="16"/>
      <c r="D31" s="16"/>
      <c r="E31" s="19"/>
      <c r="F31" s="20"/>
    </row>
    <row r="32" spans="1:7">
      <c r="B32" s="18"/>
      <c r="C32" s="16"/>
      <c r="D32" s="16"/>
      <c r="E32" s="19"/>
      <c r="F32" s="20"/>
    </row>
    <row r="33" spans="2:6">
      <c r="B33" s="18"/>
      <c r="C33" s="16"/>
      <c r="D33" s="16"/>
      <c r="E33" s="19"/>
      <c r="F33" s="20"/>
    </row>
  </sheetData>
  <sheetProtection sheet="1" objects="1" scenarios="1"/>
  <protectedRanges>
    <protectedRange sqref="B11" name="Range5"/>
    <protectedRange sqref="D6 D8" name="Range3"/>
    <protectedRange sqref="D6" name="Range1"/>
    <protectedRange sqref="D8" name="Range2"/>
    <protectedRange sqref="B11:C17" name="Range6"/>
    <protectedRange sqref="C11" name="Range7"/>
  </protectedRanges>
  <dataConsolidate/>
  <mergeCells count="8">
    <mergeCell ref="B29:F29"/>
    <mergeCell ref="B25:F25"/>
    <mergeCell ref="B1:E1"/>
    <mergeCell ref="B10:F10"/>
    <mergeCell ref="B5:E5"/>
    <mergeCell ref="B18:F18"/>
    <mergeCell ref="B22:F22"/>
    <mergeCell ref="B4:F4"/>
  </mergeCells>
  <conditionalFormatting sqref="B6:F30">
    <cfRule type="cellIs" dxfId="0" priority="1" operator="equal">
      <formula>"Option Not Available"</formula>
    </cfRule>
  </conditionalFormatting>
  <dataValidations xWindow="1168" yWindow="532" count="5">
    <dataValidation type="list" allowBlank="1" showInputMessage="1" showErrorMessage="1" promptTitle="Analyser Variant" prompt="Please choose the Serius model that you wish to order from the dropdown list." sqref="E6" xr:uid="{00000000-0002-0000-0000-000000000000}">
      <formula1>base_model</formula1>
    </dataValidation>
    <dataValidation allowBlank="1" showInputMessage="1" showErrorMessage="1" prompt="an electornic copy of this is provided with the instrument only" sqref="C19:C20" xr:uid="{00000000-0002-0000-0000-000001000000}"/>
    <dataValidation type="list" allowBlank="1" showInputMessage="1" showErrorMessage="1" promptTitle="Analyser Range" prompt="Select the range required for the criterian gas you are trying to measure.  " sqref="E8" xr:uid="{00000000-0002-0000-0000-000002000000}">
      <formula1>Model_range</formula1>
    </dataValidation>
    <dataValidation type="list" allowBlank="1" showInputMessage="1" showErrorMessage="1" promptTitle="Analyser Variant" prompt="Please choose the Serinus variant that you wish to order from the dropdown list." sqref="D6" xr:uid="{00000000-0002-0000-0000-000003000000}">
      <formula1>base_model</formula1>
    </dataValidation>
    <dataValidation type="list" allowBlank="1" showInputMessage="1" showErrorMessage="1" promptTitle="Analyser Range" prompt="Select the range required for the criteria gas you are trying to measure.  " sqref="D8" xr:uid="{00000000-0002-0000-0000-000004000000}">
      <formula1>Model_range</formula1>
    </dataValidation>
  </dataValidations>
  <pageMargins left="0.7" right="0.7" top="0.75" bottom="0.75" header="0.3" footer="0.3"/>
  <pageSetup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locked="0" defaultSize="0" autoFill="0" autoLine="0" autoPict="0" altText="">
                <anchor moveWithCells="1">
                  <from>
                    <xdr:col>2</xdr:col>
                    <xdr:colOff>38100</xdr:colOff>
                    <xdr:row>10</xdr:row>
                    <xdr:rowOff>127000</xdr:rowOff>
                  </from>
                  <to>
                    <xdr:col>2</xdr:col>
                    <xdr:colOff>247650</xdr:colOff>
                    <xdr:row>10</xdr:row>
                    <xdr:rowOff>336550</xdr:rowOff>
                  </to>
                </anchor>
              </controlPr>
            </control>
          </mc:Choice>
        </mc:AlternateContent>
        <mc:AlternateContent xmlns:mc="http://schemas.openxmlformats.org/markup-compatibility/2006">
          <mc:Choice Requires="x14">
            <control shapeId="1037" r:id="rId5" name="Check Box 13">
              <controlPr locked="0" defaultSize="0" autoFill="0" autoLine="0" autoPict="0" altText="">
                <anchor moveWithCells="1">
                  <from>
                    <xdr:col>2</xdr:col>
                    <xdr:colOff>50800</xdr:colOff>
                    <xdr:row>11</xdr:row>
                    <xdr:rowOff>127000</xdr:rowOff>
                  </from>
                  <to>
                    <xdr:col>2</xdr:col>
                    <xdr:colOff>279400</xdr:colOff>
                    <xdr:row>11</xdr:row>
                    <xdr:rowOff>336550</xdr:rowOff>
                  </to>
                </anchor>
              </controlPr>
            </control>
          </mc:Choice>
        </mc:AlternateContent>
        <mc:AlternateContent xmlns:mc="http://schemas.openxmlformats.org/markup-compatibility/2006">
          <mc:Choice Requires="x14">
            <control shapeId="1039" r:id="rId6" name="Check Box 15">
              <controlPr defaultSize="0" autoFill="0" autoLine="0" autoPict="0" altText="roll over and show me_x000a_">
                <anchor moveWithCells="1">
                  <from>
                    <xdr:col>2</xdr:col>
                    <xdr:colOff>50800</xdr:colOff>
                    <xdr:row>18</xdr:row>
                    <xdr:rowOff>88900</xdr:rowOff>
                  </from>
                  <to>
                    <xdr:col>2</xdr:col>
                    <xdr:colOff>279400</xdr:colOff>
                    <xdr:row>18</xdr:row>
                    <xdr:rowOff>298450</xdr:rowOff>
                  </to>
                </anchor>
              </controlPr>
            </control>
          </mc:Choice>
        </mc:AlternateContent>
        <mc:AlternateContent xmlns:mc="http://schemas.openxmlformats.org/markup-compatibility/2006">
          <mc:Choice Requires="x14">
            <control shapeId="1040" r:id="rId7" name="Check Box 16">
              <controlPr defaultSize="0" autoFill="0" autoLine="0" autoPict="0" altText="">
                <anchor moveWithCells="1">
                  <from>
                    <xdr:col>2</xdr:col>
                    <xdr:colOff>50800</xdr:colOff>
                    <xdr:row>20</xdr:row>
                    <xdr:rowOff>76200</xdr:rowOff>
                  </from>
                  <to>
                    <xdr:col>2</xdr:col>
                    <xdr:colOff>279400</xdr:colOff>
                    <xdr:row>20</xdr:row>
                    <xdr:rowOff>285750</xdr:rowOff>
                  </to>
                </anchor>
              </controlPr>
            </control>
          </mc:Choice>
        </mc:AlternateContent>
        <mc:AlternateContent xmlns:mc="http://schemas.openxmlformats.org/markup-compatibility/2006">
          <mc:Choice Requires="x14">
            <control shapeId="1053" r:id="rId8" name="Check Box 29">
              <controlPr defaultSize="0" autoFill="0" autoLine="0" autoPict="0" altText="">
                <anchor moveWithCells="1">
                  <from>
                    <xdr:col>2</xdr:col>
                    <xdr:colOff>50800</xdr:colOff>
                    <xdr:row>29</xdr:row>
                    <xdr:rowOff>69850</xdr:rowOff>
                  </from>
                  <to>
                    <xdr:col>2</xdr:col>
                    <xdr:colOff>279400</xdr:colOff>
                    <xdr:row>29</xdr:row>
                    <xdr:rowOff>279400</xdr:rowOff>
                  </to>
                </anchor>
              </controlPr>
            </control>
          </mc:Choice>
        </mc:AlternateContent>
        <mc:AlternateContent xmlns:mc="http://schemas.openxmlformats.org/markup-compatibility/2006">
          <mc:Choice Requires="x14">
            <control shapeId="1085" r:id="rId9" name="Check Box 61">
              <controlPr defaultSize="0" autoFill="0" autoLine="0" autoPict="0" altText="">
                <anchor moveWithCells="1">
                  <from>
                    <xdr:col>2</xdr:col>
                    <xdr:colOff>50800</xdr:colOff>
                    <xdr:row>25</xdr:row>
                    <xdr:rowOff>76200</xdr:rowOff>
                  </from>
                  <to>
                    <xdr:col>2</xdr:col>
                    <xdr:colOff>279400</xdr:colOff>
                    <xdr:row>25</xdr:row>
                    <xdr:rowOff>285750</xdr:rowOff>
                  </to>
                </anchor>
              </controlPr>
            </control>
          </mc:Choice>
        </mc:AlternateContent>
        <mc:AlternateContent xmlns:mc="http://schemas.openxmlformats.org/markup-compatibility/2006">
          <mc:Choice Requires="x14">
            <control shapeId="1101" r:id="rId10" name="Check Box 77">
              <controlPr defaultSize="0" autoFill="0" autoLine="0" autoPict="0" altText="">
                <anchor moveWithCells="1">
                  <from>
                    <xdr:col>2</xdr:col>
                    <xdr:colOff>38100</xdr:colOff>
                    <xdr:row>8</xdr:row>
                    <xdr:rowOff>76200</xdr:rowOff>
                  </from>
                  <to>
                    <xdr:col>2</xdr:col>
                    <xdr:colOff>266700</xdr:colOff>
                    <xdr:row>8</xdr:row>
                    <xdr:rowOff>285750</xdr:rowOff>
                  </to>
                </anchor>
              </controlPr>
            </control>
          </mc:Choice>
        </mc:AlternateContent>
        <mc:AlternateContent xmlns:mc="http://schemas.openxmlformats.org/markup-compatibility/2006">
          <mc:Choice Requires="x14">
            <control shapeId="1115" r:id="rId11" name="Check Box 91">
              <controlPr locked="0" defaultSize="0" autoFill="0" autoLine="0" autoPict="0" altText="">
                <anchor moveWithCells="1">
                  <from>
                    <xdr:col>2</xdr:col>
                    <xdr:colOff>50800</xdr:colOff>
                    <xdr:row>12</xdr:row>
                    <xdr:rowOff>127000</xdr:rowOff>
                  </from>
                  <to>
                    <xdr:col>2</xdr:col>
                    <xdr:colOff>279400</xdr:colOff>
                    <xdr:row>12</xdr:row>
                    <xdr:rowOff>336550</xdr:rowOff>
                  </to>
                </anchor>
              </controlPr>
            </control>
          </mc:Choice>
        </mc:AlternateContent>
        <mc:AlternateContent xmlns:mc="http://schemas.openxmlformats.org/markup-compatibility/2006">
          <mc:Choice Requires="x14">
            <control shapeId="1116" r:id="rId12" name="Check Box 92">
              <controlPr locked="0" defaultSize="0" autoFill="0" autoLine="0" autoPict="0" altText="">
                <anchor moveWithCells="1">
                  <from>
                    <xdr:col>2</xdr:col>
                    <xdr:colOff>50800</xdr:colOff>
                    <xdr:row>13</xdr:row>
                    <xdr:rowOff>127000</xdr:rowOff>
                  </from>
                  <to>
                    <xdr:col>2</xdr:col>
                    <xdr:colOff>279400</xdr:colOff>
                    <xdr:row>13</xdr:row>
                    <xdr:rowOff>336550</xdr:rowOff>
                  </to>
                </anchor>
              </controlPr>
            </control>
          </mc:Choice>
        </mc:AlternateContent>
        <mc:AlternateContent xmlns:mc="http://schemas.openxmlformats.org/markup-compatibility/2006">
          <mc:Choice Requires="x14">
            <control shapeId="1117" r:id="rId13" name="Check Box 93">
              <controlPr defaultSize="0" autoFill="0" autoLine="0" autoPict="0" altText="">
                <anchor moveWithCells="1">
                  <from>
                    <xdr:col>2</xdr:col>
                    <xdr:colOff>50800</xdr:colOff>
                    <xdr:row>14</xdr:row>
                    <xdr:rowOff>127000</xdr:rowOff>
                  </from>
                  <to>
                    <xdr:col>2</xdr:col>
                    <xdr:colOff>279400</xdr:colOff>
                    <xdr:row>14</xdr:row>
                    <xdr:rowOff>336550</xdr:rowOff>
                  </to>
                </anchor>
              </controlPr>
            </control>
          </mc:Choice>
        </mc:AlternateContent>
        <mc:AlternateContent xmlns:mc="http://schemas.openxmlformats.org/markup-compatibility/2006">
          <mc:Choice Requires="x14">
            <control shapeId="1118" r:id="rId14" name="Check Box 94">
              <controlPr defaultSize="0" autoFill="0" autoLine="0" autoPict="0" altText="">
                <anchor moveWithCells="1">
                  <from>
                    <xdr:col>2</xdr:col>
                    <xdr:colOff>50800</xdr:colOff>
                    <xdr:row>15</xdr:row>
                    <xdr:rowOff>127000</xdr:rowOff>
                  </from>
                  <to>
                    <xdr:col>2</xdr:col>
                    <xdr:colOff>279400</xdr:colOff>
                    <xdr:row>15</xdr:row>
                    <xdr:rowOff>336550</xdr:rowOff>
                  </to>
                </anchor>
              </controlPr>
            </control>
          </mc:Choice>
        </mc:AlternateContent>
        <mc:AlternateContent xmlns:mc="http://schemas.openxmlformats.org/markup-compatibility/2006">
          <mc:Choice Requires="x14">
            <control shapeId="1119" r:id="rId15" name="Check Box 95">
              <controlPr defaultSize="0" autoFill="0" autoLine="0" autoPict="0" altText="">
                <anchor moveWithCells="1">
                  <from>
                    <xdr:col>2</xdr:col>
                    <xdr:colOff>50800</xdr:colOff>
                    <xdr:row>16</xdr:row>
                    <xdr:rowOff>127000</xdr:rowOff>
                  </from>
                  <to>
                    <xdr:col>2</xdr:col>
                    <xdr:colOff>279400</xdr:colOff>
                    <xdr:row>16</xdr:row>
                    <xdr:rowOff>336550</xdr:rowOff>
                  </to>
                </anchor>
              </controlPr>
            </control>
          </mc:Choice>
        </mc:AlternateContent>
        <mc:AlternateContent xmlns:mc="http://schemas.openxmlformats.org/markup-compatibility/2006">
          <mc:Choice Requires="x14">
            <control shapeId="1121" r:id="rId16" name="Check Box 97">
              <controlPr defaultSize="0" autoFill="0" autoLine="0" autoPict="0" altText="roll over and show me_x000a_">
                <anchor moveWithCells="1">
                  <from>
                    <xdr:col>2</xdr:col>
                    <xdr:colOff>50800</xdr:colOff>
                    <xdr:row>19</xdr:row>
                    <xdr:rowOff>88900</xdr:rowOff>
                  </from>
                  <to>
                    <xdr:col>2</xdr:col>
                    <xdr:colOff>279400</xdr:colOff>
                    <xdr:row>19</xdr:row>
                    <xdr:rowOff>298450</xdr:rowOff>
                  </to>
                </anchor>
              </controlPr>
            </control>
          </mc:Choice>
        </mc:AlternateContent>
        <mc:AlternateContent xmlns:mc="http://schemas.openxmlformats.org/markup-compatibility/2006">
          <mc:Choice Requires="x14">
            <control shapeId="1153" r:id="rId17" name="Check Box 129">
              <controlPr defaultSize="0" autoFill="0" autoLine="0" autoPict="0" altText="">
                <anchor moveWithCells="1">
                  <from>
                    <xdr:col>2</xdr:col>
                    <xdr:colOff>50800</xdr:colOff>
                    <xdr:row>23</xdr:row>
                    <xdr:rowOff>69850</xdr:rowOff>
                  </from>
                  <to>
                    <xdr:col>2</xdr:col>
                    <xdr:colOff>279400</xdr:colOff>
                    <xdr:row>23</xdr:row>
                    <xdr:rowOff>279400</xdr:rowOff>
                  </to>
                </anchor>
              </controlPr>
            </control>
          </mc:Choice>
        </mc:AlternateContent>
        <mc:AlternateContent xmlns:mc="http://schemas.openxmlformats.org/markup-compatibility/2006">
          <mc:Choice Requires="x14">
            <control shapeId="1155" r:id="rId18" name="Check Box 131">
              <controlPr defaultSize="0" autoFill="0" autoLine="0" autoPict="0" altText="">
                <anchor moveWithCells="1">
                  <from>
                    <xdr:col>2</xdr:col>
                    <xdr:colOff>50800</xdr:colOff>
                    <xdr:row>22</xdr:row>
                    <xdr:rowOff>76200</xdr:rowOff>
                  </from>
                  <to>
                    <xdr:col>2</xdr:col>
                    <xdr:colOff>279400</xdr:colOff>
                    <xdr:row>22</xdr:row>
                    <xdr:rowOff>285750</xdr:rowOff>
                  </to>
                </anchor>
              </controlPr>
            </control>
          </mc:Choice>
        </mc:AlternateContent>
        <mc:AlternateContent xmlns:mc="http://schemas.openxmlformats.org/markup-compatibility/2006">
          <mc:Choice Requires="x14">
            <control shapeId="1156" r:id="rId19" name="Check Box 132">
              <controlPr defaultSize="0" autoFill="0" autoLine="0" autoPict="0" altText="">
                <anchor moveWithCells="1">
                  <from>
                    <xdr:col>2</xdr:col>
                    <xdr:colOff>50800</xdr:colOff>
                    <xdr:row>26</xdr:row>
                    <xdr:rowOff>76200</xdr:rowOff>
                  </from>
                  <to>
                    <xdr:col>2</xdr:col>
                    <xdr:colOff>279400</xdr:colOff>
                    <xdr:row>26</xdr:row>
                    <xdr:rowOff>285750</xdr:rowOff>
                  </to>
                </anchor>
              </controlPr>
            </control>
          </mc:Choice>
        </mc:AlternateContent>
        <mc:AlternateContent xmlns:mc="http://schemas.openxmlformats.org/markup-compatibility/2006">
          <mc:Choice Requires="x14">
            <control shapeId="1157" r:id="rId20" name="Check Box 133">
              <controlPr defaultSize="0" autoFill="0" autoLine="0" autoPict="0" altText="">
                <anchor moveWithCells="1">
                  <from>
                    <xdr:col>2</xdr:col>
                    <xdr:colOff>50800</xdr:colOff>
                    <xdr:row>27</xdr:row>
                    <xdr:rowOff>76200</xdr:rowOff>
                  </from>
                  <to>
                    <xdr:col>2</xdr:col>
                    <xdr:colOff>279400</xdr:colOff>
                    <xdr:row>27</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7873"/>
  <sheetViews>
    <sheetView topLeftCell="C43" workbookViewId="0">
      <selection activeCell="D26" sqref="D26"/>
    </sheetView>
  </sheetViews>
  <sheetFormatPr defaultColWidth="9.1796875" defaultRowHeight="14.5"/>
  <cols>
    <col min="1" max="1" width="9.1796875" style="1"/>
    <col min="2" max="2" width="87.81640625" style="1" bestFit="1" customWidth="1"/>
    <col min="3" max="3" width="19.7265625" style="1" customWidth="1"/>
    <col min="4" max="4" width="70" style="1" customWidth="1"/>
    <col min="5" max="6" width="9.1796875" style="1"/>
    <col min="7" max="7" width="27.1796875" style="1" customWidth="1"/>
    <col min="8" max="8" width="12" style="1" bestFit="1" customWidth="1"/>
    <col min="9" max="10" width="9.1796875" style="1"/>
    <col min="11" max="11" width="21.7265625" style="1" bestFit="1" customWidth="1"/>
    <col min="12" max="16384" width="9.1796875" style="1"/>
  </cols>
  <sheetData>
    <row r="1" spans="2:11">
      <c r="B1" s="1" t="s">
        <v>0</v>
      </c>
      <c r="C1" s="1" t="s">
        <v>1</v>
      </c>
      <c r="D1" s="1" t="e">
        <f>'Serinus Analyser Order Guide'!#REF!</f>
        <v>#REF!</v>
      </c>
    </row>
    <row r="3" spans="2:11">
      <c r="D3" s="15" t="s">
        <v>2</v>
      </c>
    </row>
    <row r="4" spans="2:11">
      <c r="D4" s="32" t="s">
        <v>195</v>
      </c>
      <c r="E4" s="15" t="s">
        <v>128</v>
      </c>
      <c r="G4" s="15" t="s">
        <v>113</v>
      </c>
      <c r="H4" s="15" t="s">
        <v>114</v>
      </c>
      <c r="I4" s="15"/>
      <c r="K4" s="15" t="s">
        <v>116</v>
      </c>
    </row>
    <row r="5" spans="2:11" ht="16.5">
      <c r="B5" s="2" t="s">
        <v>17</v>
      </c>
      <c r="C5" s="3" t="s">
        <v>32</v>
      </c>
      <c r="D5" s="1" t="str">
        <f>B5</f>
        <v>Serinus 10</v>
      </c>
      <c r="E5" s="1" t="s">
        <v>163</v>
      </c>
      <c r="G5" s="2" t="s">
        <v>17</v>
      </c>
      <c r="H5" s="1" t="s">
        <v>188</v>
      </c>
      <c r="K5" s="1" t="str">
        <f>B28</f>
        <v>S10 Internal Pump</v>
      </c>
    </row>
    <row r="6" spans="2:11">
      <c r="B6" s="2" t="s">
        <v>18</v>
      </c>
      <c r="C6" s="3" t="s">
        <v>33</v>
      </c>
      <c r="D6" s="1" t="str">
        <f t="shared" ref="D6" si="0">B6</f>
        <v>Serinus 30</v>
      </c>
      <c r="E6" s="1" t="s">
        <v>129</v>
      </c>
      <c r="G6" s="2" t="s">
        <v>18</v>
      </c>
      <c r="H6" s="1" t="s">
        <v>188</v>
      </c>
      <c r="K6" s="1" t="str">
        <f>B37</f>
        <v>Serinus 10 User Manual</v>
      </c>
    </row>
    <row r="7" spans="2:11" ht="16.5">
      <c r="B7" s="2" t="s">
        <v>205</v>
      </c>
      <c r="C7" s="3" t="s">
        <v>206</v>
      </c>
      <c r="D7" s="1" t="s">
        <v>205</v>
      </c>
      <c r="E7" s="1" t="s">
        <v>207</v>
      </c>
      <c r="G7" s="2" t="s">
        <v>205</v>
      </c>
      <c r="H7" s="27" t="s">
        <v>188</v>
      </c>
      <c r="K7" s="1" t="str">
        <f>B51</f>
        <v>S10 IZS</v>
      </c>
    </row>
    <row r="8" spans="2:11" ht="16.5">
      <c r="B8" s="2" t="s">
        <v>19</v>
      </c>
      <c r="C8" s="3" t="s">
        <v>34</v>
      </c>
      <c r="D8" s="1" t="str">
        <f>B8</f>
        <v>Serinus 40</v>
      </c>
      <c r="E8" s="1" t="s">
        <v>170</v>
      </c>
      <c r="G8" s="2" t="s">
        <v>19</v>
      </c>
      <c r="H8" s="1" t="s">
        <v>188</v>
      </c>
      <c r="K8" s="1" t="str">
        <f>B52</f>
        <v xml:space="preserve">S10 IZ </v>
      </c>
    </row>
    <row r="9" spans="2:11" ht="16.5">
      <c r="B9" s="2" t="s">
        <v>22</v>
      </c>
      <c r="C9" s="25" t="s">
        <v>40</v>
      </c>
      <c r="D9" s="1" t="str">
        <f>B9</f>
        <v>Serinus 44</v>
      </c>
      <c r="E9" s="1" t="s">
        <v>164</v>
      </c>
      <c r="G9" s="2" t="s">
        <v>22</v>
      </c>
      <c r="H9" s="1" t="s">
        <v>188</v>
      </c>
      <c r="K9" t="str">
        <f>B58</f>
        <v>High Pressure Zero</v>
      </c>
    </row>
    <row r="10" spans="2:11" ht="16.5">
      <c r="B10" s="2" t="s">
        <v>20</v>
      </c>
      <c r="C10" s="3" t="s">
        <v>35</v>
      </c>
      <c r="D10" s="1" t="str">
        <f t="shared" ref="D10:D11" si="1">B10</f>
        <v>Serinus 50</v>
      </c>
      <c r="E10" s="1" t="s">
        <v>165</v>
      </c>
      <c r="G10" s="2" t="s">
        <v>20</v>
      </c>
      <c r="H10" s="1" t="s">
        <v>188</v>
      </c>
      <c r="I10" s="27"/>
    </row>
    <row r="11" spans="2:11" ht="16.5">
      <c r="B11" s="22" t="s">
        <v>23</v>
      </c>
      <c r="C11" s="3" t="s">
        <v>36</v>
      </c>
      <c r="D11" s="1" t="str">
        <f t="shared" si="1"/>
        <v>Serinus 51</v>
      </c>
      <c r="E11" s="1" t="s">
        <v>166</v>
      </c>
      <c r="G11" s="22" t="s">
        <v>23</v>
      </c>
      <c r="H11" s="1" t="s">
        <v>188</v>
      </c>
      <c r="I11" s="27"/>
      <c r="K11" s="15" t="s">
        <v>115</v>
      </c>
    </row>
    <row r="12" spans="2:11" ht="16.5">
      <c r="B12" s="24" t="s">
        <v>24</v>
      </c>
      <c r="C12" s="3" t="s">
        <v>37</v>
      </c>
      <c r="D12" s="1" t="str">
        <f>B12</f>
        <v>Serinus 55</v>
      </c>
      <c r="E12" s="1" t="s">
        <v>167</v>
      </c>
      <c r="G12" s="24" t="s">
        <v>24</v>
      </c>
      <c r="H12" s="1" t="s">
        <v>188</v>
      </c>
      <c r="I12" s="27"/>
      <c r="K12" s="1" t="str">
        <f>B29</f>
        <v>S30 Internal Pump</v>
      </c>
    </row>
    <row r="13" spans="2:11">
      <c r="B13" s="24" t="s">
        <v>25</v>
      </c>
      <c r="C13" s="23" t="s">
        <v>38</v>
      </c>
      <c r="D13" s="1" t="str">
        <f>B13</f>
        <v>Serinus 56</v>
      </c>
      <c r="E13" s="1" t="s">
        <v>131</v>
      </c>
      <c r="G13" s="24" t="s">
        <v>25</v>
      </c>
      <c r="H13" s="1" t="s">
        <v>188</v>
      </c>
      <c r="I13" s="27"/>
      <c r="K13" s="1" t="str">
        <f>B38</f>
        <v>Serinus 30 User Manual</v>
      </c>
    </row>
    <row r="14" spans="2:11">
      <c r="B14" s="24" t="s">
        <v>26</v>
      </c>
      <c r="C14" s="23" t="s">
        <v>39</v>
      </c>
      <c r="D14" s="1" t="str">
        <f t="shared" ref="D14" si="2">B14</f>
        <v>Serinus 57</v>
      </c>
      <c r="E14" s="1" t="s">
        <v>130</v>
      </c>
      <c r="G14" s="24" t="s">
        <v>26</v>
      </c>
      <c r="H14" s="1" t="s">
        <v>188</v>
      </c>
      <c r="I14" s="27"/>
      <c r="K14" s="1" t="str">
        <f>B56</f>
        <v>S30 High Flow</v>
      </c>
    </row>
    <row r="15" spans="2:11" ht="16.5">
      <c r="B15" s="22" t="s">
        <v>21</v>
      </c>
      <c r="C15" s="3" t="s">
        <v>41</v>
      </c>
      <c r="D15" s="1" t="str">
        <f>B15</f>
        <v>Serinus 60</v>
      </c>
      <c r="E15" s="1" t="s">
        <v>168</v>
      </c>
      <c r="G15" s="22" t="s">
        <v>21</v>
      </c>
      <c r="H15" s="1" t="s">
        <v>188</v>
      </c>
      <c r="I15" s="27"/>
      <c r="K15" t="str">
        <f>B57</f>
        <v>High Pressure Span</v>
      </c>
    </row>
    <row r="16" spans="2:11">
      <c r="B16" s="2"/>
      <c r="C16" s="3"/>
      <c r="K16" t="str">
        <f>B58</f>
        <v>High Pressure Zero</v>
      </c>
    </row>
    <row r="17" spans="1:11">
      <c r="B17" s="22" t="s">
        <v>29</v>
      </c>
      <c r="C17" s="25"/>
      <c r="D17" s="15" t="s">
        <v>108</v>
      </c>
      <c r="G17" s="24" t="s">
        <v>112</v>
      </c>
      <c r="H17" s="15" t="s">
        <v>114</v>
      </c>
      <c r="I17" s="15"/>
      <c r="K17" s="1" t="str">
        <f>B63</f>
        <v>External CO2 sensor</v>
      </c>
    </row>
    <row r="18" spans="1:11">
      <c r="B18" s="22"/>
      <c r="C18" s="25"/>
      <c r="D18" s="1" t="s">
        <v>7</v>
      </c>
      <c r="G18" s="2" t="s">
        <v>17</v>
      </c>
      <c r="H18" s="1" t="s">
        <v>159</v>
      </c>
    </row>
    <row r="19" spans="1:11">
      <c r="B19" s="25" t="s">
        <v>111</v>
      </c>
      <c r="C19" s="25"/>
      <c r="D19" s="1" t="str">
        <f>B19</f>
        <v>Standard</v>
      </c>
      <c r="G19" s="2" t="s">
        <v>18</v>
      </c>
      <c r="H19" s="1" t="s">
        <v>132</v>
      </c>
    </row>
    <row r="20" spans="1:11">
      <c r="B20" s="25" t="s">
        <v>30</v>
      </c>
      <c r="C20" s="25"/>
      <c r="D20" s="1" t="str">
        <f>B20</f>
        <v>High</v>
      </c>
      <c r="G20" s="2" t="s">
        <v>205</v>
      </c>
      <c r="H20" s="1" t="s">
        <v>159</v>
      </c>
      <c r="K20" s="15" t="s">
        <v>117</v>
      </c>
    </row>
    <row r="21" spans="1:11">
      <c r="B21" s="25" t="s">
        <v>31</v>
      </c>
      <c r="C21" s="25"/>
      <c r="D21" s="1" t="str">
        <f>B21</f>
        <v>Trace</v>
      </c>
      <c r="G21" s="2" t="s">
        <v>19</v>
      </c>
      <c r="H21" s="27" t="s">
        <v>133</v>
      </c>
      <c r="I21" s="27"/>
      <c r="K21" s="1" t="str">
        <f>B31</f>
        <v>S40 Internal Pump</v>
      </c>
    </row>
    <row r="22" spans="1:11">
      <c r="B22" s="25"/>
      <c r="C22" s="25"/>
      <c r="G22" s="2" t="s">
        <v>22</v>
      </c>
      <c r="H22" s="30" t="s">
        <v>159</v>
      </c>
      <c r="I22" s="27"/>
      <c r="K22" s="1" t="str">
        <f>B34</f>
        <v>S40 Test Lamp</v>
      </c>
    </row>
    <row r="23" spans="1:11">
      <c r="B23" s="22" t="s">
        <v>151</v>
      </c>
      <c r="C23" s="25"/>
      <c r="D23" s="15" t="s">
        <v>151</v>
      </c>
      <c r="G23" s="2" t="s">
        <v>20</v>
      </c>
      <c r="H23" s="30" t="s">
        <v>159</v>
      </c>
      <c r="I23" s="27"/>
      <c r="K23" s="1" t="str">
        <f>B40</f>
        <v>Serinus 40 User Manual</v>
      </c>
    </row>
    <row r="24" spans="1:11">
      <c r="B24" s="25" t="s">
        <v>181</v>
      </c>
      <c r="C24" s="25"/>
      <c r="D24" s="1" t="str">
        <f>B24</f>
        <v>110 V</v>
      </c>
      <c r="E24" t="b">
        <v>0</v>
      </c>
      <c r="G24" s="22" t="s">
        <v>23</v>
      </c>
      <c r="H24" s="30" t="s">
        <v>159</v>
      </c>
      <c r="I24" s="27"/>
      <c r="K24" s="1" t="str">
        <f>B53</f>
        <v>S40 IZS</v>
      </c>
    </row>
    <row r="25" spans="1:11">
      <c r="B25" s="25" t="s">
        <v>182</v>
      </c>
      <c r="C25" s="25"/>
      <c r="D25" s="1" t="str">
        <f>B25</f>
        <v>240 V</v>
      </c>
      <c r="E25" t="b">
        <v>1</v>
      </c>
      <c r="G25" s="24" t="s">
        <v>24</v>
      </c>
      <c r="H25" s="30" t="s">
        <v>159</v>
      </c>
      <c r="I25" s="27"/>
      <c r="K25" s="1" t="str">
        <f>B55</f>
        <v>S40 Sample dryer</v>
      </c>
    </row>
    <row r="26" spans="1:11">
      <c r="G26" s="24" t="s">
        <v>25</v>
      </c>
      <c r="H26" s="30" t="s">
        <v>159</v>
      </c>
      <c r="I26" s="27"/>
      <c r="K26" t="str">
        <f>B57</f>
        <v>High Pressure Span</v>
      </c>
    </row>
    <row r="27" spans="1:11">
      <c r="B27" s="15" t="s">
        <v>66</v>
      </c>
      <c r="G27" s="24" t="s">
        <v>26</v>
      </c>
      <c r="H27" s="30" t="s">
        <v>159</v>
      </c>
      <c r="I27" s="27"/>
      <c r="K27" t="str">
        <f>B58</f>
        <v>High Pressure Zero</v>
      </c>
    </row>
    <row r="28" spans="1:11">
      <c r="B28" t="s">
        <v>42</v>
      </c>
      <c r="C28" t="s">
        <v>43</v>
      </c>
      <c r="D28" s="1" t="str">
        <f t="shared" ref="D28:D30" si="3">B28</f>
        <v>S10 Internal Pump</v>
      </c>
      <c r="E28" t="b">
        <v>0</v>
      </c>
      <c r="G28" s="22" t="s">
        <v>21</v>
      </c>
      <c r="H28" s="30" t="s">
        <v>159</v>
      </c>
      <c r="I28" s="27"/>
    </row>
    <row r="29" spans="1:11">
      <c r="B29" t="s">
        <v>44</v>
      </c>
      <c r="C29" t="s">
        <v>45</v>
      </c>
      <c r="D29" s="1" t="str">
        <f t="shared" si="3"/>
        <v>S30 Internal Pump</v>
      </c>
      <c r="E29" t="b">
        <v>1</v>
      </c>
      <c r="I29" s="27"/>
    </row>
    <row r="30" spans="1:11">
      <c r="B30" t="s">
        <v>213</v>
      </c>
      <c r="C30" t="s">
        <v>45</v>
      </c>
      <c r="D30" s="1" t="str">
        <f t="shared" si="3"/>
        <v>S31 Internal Pump</v>
      </c>
      <c r="E30" t="b">
        <v>1</v>
      </c>
      <c r="I30" s="27"/>
      <c r="K30" s="15" t="s">
        <v>118</v>
      </c>
    </row>
    <row r="31" spans="1:11">
      <c r="A31" t="s">
        <v>59</v>
      </c>
      <c r="B31" t="s">
        <v>56</v>
      </c>
      <c r="C31" t="s">
        <v>159</v>
      </c>
      <c r="D31" s="1" t="str">
        <f t="shared" ref="D31:D63" si="4">B31</f>
        <v>S40 Internal Pump</v>
      </c>
      <c r="E31" t="b">
        <v>1</v>
      </c>
      <c r="G31" s="24" t="s">
        <v>150</v>
      </c>
      <c r="H31" s="15" t="s">
        <v>114</v>
      </c>
      <c r="I31" s="27"/>
      <c r="K31" s="1" t="str">
        <f>B35</f>
        <v>S44 Test Lamp</v>
      </c>
    </row>
    <row r="32" spans="1:11">
      <c r="B32" t="s">
        <v>57</v>
      </c>
      <c r="C32" t="s">
        <v>60</v>
      </c>
      <c r="D32" s="1" t="str">
        <f t="shared" si="4"/>
        <v>S50 Internal Pump</v>
      </c>
      <c r="E32" t="b">
        <v>1</v>
      </c>
      <c r="G32" s="2" t="s">
        <v>17</v>
      </c>
      <c r="H32" s="30" t="s">
        <v>159</v>
      </c>
      <c r="I32" s="27"/>
      <c r="K32" s="1" t="str">
        <f>B41</f>
        <v>Serinus 44 User Manual</v>
      </c>
    </row>
    <row r="33" spans="2:11">
      <c r="B33" t="s">
        <v>58</v>
      </c>
      <c r="C33" t="s">
        <v>61</v>
      </c>
      <c r="D33" s="1" t="str">
        <f t="shared" si="4"/>
        <v>S60 Internal Pump</v>
      </c>
      <c r="E33" t="b">
        <v>1</v>
      </c>
      <c r="G33" s="2" t="s">
        <v>18</v>
      </c>
      <c r="H33" t="s">
        <v>76</v>
      </c>
      <c r="K33" t="str">
        <f>B57</f>
        <v>High Pressure Span</v>
      </c>
    </row>
    <row r="34" spans="2:11">
      <c r="B34" t="s">
        <v>62</v>
      </c>
      <c r="C34" t="s">
        <v>64</v>
      </c>
      <c r="D34" s="1" t="str">
        <f t="shared" si="4"/>
        <v>S40 Test Lamp</v>
      </c>
      <c r="E34" t="b">
        <v>1</v>
      </c>
      <c r="G34" s="2" t="s">
        <v>205</v>
      </c>
      <c r="H34" s="30" t="s">
        <v>159</v>
      </c>
      <c r="K34" t="str">
        <f>B58</f>
        <v>High Pressure Zero</v>
      </c>
    </row>
    <row r="35" spans="2:11">
      <c r="B35" t="s">
        <v>63</v>
      </c>
      <c r="C35" t="s">
        <v>64</v>
      </c>
      <c r="D35" s="1" t="str">
        <f t="shared" si="4"/>
        <v>S44 Test Lamp</v>
      </c>
      <c r="E35" t="b">
        <v>1</v>
      </c>
      <c r="G35" s="2" t="s">
        <v>19</v>
      </c>
      <c r="H35" t="s">
        <v>75</v>
      </c>
      <c r="K35" s="1" t="str">
        <f>B59</f>
        <v>NH3 converter 240 V</v>
      </c>
    </row>
    <row r="36" spans="2:11">
      <c r="B36" t="s">
        <v>79</v>
      </c>
      <c r="C36" t="s">
        <v>65</v>
      </c>
      <c r="D36" s="1" t="str">
        <f t="shared" si="4"/>
        <v>S50 Test Lamp</v>
      </c>
      <c r="E36" t="b">
        <v>1</v>
      </c>
      <c r="G36" s="2" t="s">
        <v>22</v>
      </c>
      <c r="H36" s="30" t="s">
        <v>159</v>
      </c>
      <c r="I36" s="15"/>
      <c r="K36" s="1" t="str">
        <f>B60</f>
        <v>NH3 converter 110 V</v>
      </c>
    </row>
    <row r="37" spans="2:11">
      <c r="B37" t="s">
        <v>171</v>
      </c>
      <c r="C37" t="s">
        <v>46</v>
      </c>
      <c r="D37" s="1" t="str">
        <f t="shared" si="4"/>
        <v>Serinus 10 User Manual</v>
      </c>
      <c r="E37" t="b">
        <v>1</v>
      </c>
      <c r="G37" s="2" t="s">
        <v>20</v>
      </c>
      <c r="H37" t="str">
        <f>C50</f>
        <v>E020126</v>
      </c>
    </row>
    <row r="38" spans="2:11">
      <c r="B38" t="s">
        <v>172</v>
      </c>
      <c r="C38" t="s">
        <v>48</v>
      </c>
      <c r="D38" s="1" t="str">
        <f t="shared" si="4"/>
        <v>Serinus 30 User Manual</v>
      </c>
      <c r="E38" t="b">
        <v>1</v>
      </c>
      <c r="G38" s="22" t="s">
        <v>23</v>
      </c>
      <c r="H38" s="30" t="s">
        <v>159</v>
      </c>
      <c r="I38"/>
      <c r="K38" s="15" t="s">
        <v>119</v>
      </c>
    </row>
    <row r="39" spans="2:11">
      <c r="B39" t="s">
        <v>211</v>
      </c>
      <c r="C39" s="1" t="s">
        <v>212</v>
      </c>
      <c r="D39" s="1" t="str">
        <f t="shared" si="4"/>
        <v>Serinus 31 User Manual</v>
      </c>
      <c r="E39" t="b">
        <v>1</v>
      </c>
      <c r="G39" s="24" t="s">
        <v>24</v>
      </c>
      <c r="H39" s="30" t="s">
        <v>159</v>
      </c>
      <c r="I39"/>
      <c r="K39" s="1" t="str">
        <f>B32</f>
        <v>S50 Internal Pump</v>
      </c>
    </row>
    <row r="40" spans="2:11">
      <c r="B40" t="s">
        <v>173</v>
      </c>
      <c r="C40" t="s">
        <v>49</v>
      </c>
      <c r="D40" s="1" t="str">
        <f t="shared" si="4"/>
        <v>Serinus 40 User Manual</v>
      </c>
      <c r="E40" t="b">
        <v>1</v>
      </c>
      <c r="G40" s="24" t="s">
        <v>25</v>
      </c>
      <c r="H40" s="30" t="s">
        <v>159</v>
      </c>
      <c r="K40" s="1" t="str">
        <f>B36</f>
        <v>S50 Test Lamp</v>
      </c>
    </row>
    <row r="41" spans="2:11">
      <c r="B41" t="s">
        <v>174</v>
      </c>
      <c r="C41" t="s">
        <v>51</v>
      </c>
      <c r="D41" s="1" t="str">
        <f t="shared" si="4"/>
        <v>Serinus 44 User Manual</v>
      </c>
      <c r="E41" t="b">
        <v>1</v>
      </c>
      <c r="G41" s="24" t="s">
        <v>26</v>
      </c>
      <c r="H41" s="30" t="s">
        <v>159</v>
      </c>
      <c r="I41"/>
      <c r="K41" s="1" t="str">
        <f>B42</f>
        <v>Serinus 50 User Manual</v>
      </c>
    </row>
    <row r="42" spans="2:11">
      <c r="B42" t="s">
        <v>175</v>
      </c>
      <c r="C42" t="s">
        <v>50</v>
      </c>
      <c r="D42" s="1" t="str">
        <f t="shared" si="4"/>
        <v>Serinus 50 User Manual</v>
      </c>
      <c r="E42" t="b">
        <v>1</v>
      </c>
      <c r="G42" s="22" t="s">
        <v>21</v>
      </c>
      <c r="H42" s="30" t="s">
        <v>159</v>
      </c>
      <c r="K42" s="1" t="str">
        <f>B54</f>
        <v>S50 IZS</v>
      </c>
    </row>
    <row r="43" spans="2:11">
      <c r="B43" t="s">
        <v>176</v>
      </c>
      <c r="C43" t="s">
        <v>52</v>
      </c>
      <c r="D43" s="1" t="str">
        <f t="shared" si="4"/>
        <v>Serinus 51 User Manual</v>
      </c>
      <c r="E43" t="b">
        <v>1</v>
      </c>
      <c r="I43" s="27"/>
      <c r="K43" t="str">
        <f>B57</f>
        <v>High Pressure Span</v>
      </c>
    </row>
    <row r="44" spans="2:11">
      <c r="B44" t="s">
        <v>177</v>
      </c>
      <c r="C44" t="s">
        <v>53</v>
      </c>
      <c r="D44" s="1" t="str">
        <f t="shared" si="4"/>
        <v>Serinus 55 User Manual</v>
      </c>
      <c r="E44" t="b">
        <v>1</v>
      </c>
      <c r="I44" s="27"/>
      <c r="K44" t="str">
        <f>B58</f>
        <v>High Pressure Zero</v>
      </c>
    </row>
    <row r="45" spans="2:11">
      <c r="B45" t="s">
        <v>178</v>
      </c>
      <c r="C45" t="s">
        <v>54</v>
      </c>
      <c r="D45" s="1" t="str">
        <f t="shared" si="4"/>
        <v>Serinus 56 User Manual</v>
      </c>
      <c r="E45" t="b">
        <v>1</v>
      </c>
    </row>
    <row r="46" spans="2:11">
      <c r="B46" t="s">
        <v>179</v>
      </c>
      <c r="C46" t="s">
        <v>55</v>
      </c>
      <c r="D46" s="1" t="str">
        <f t="shared" si="4"/>
        <v>Serinus 57 User Manual</v>
      </c>
      <c r="E46" t="b">
        <v>1</v>
      </c>
    </row>
    <row r="47" spans="2:11">
      <c r="B47" t="s">
        <v>180</v>
      </c>
      <c r="C47" t="s">
        <v>47</v>
      </c>
      <c r="D47" s="1" t="str">
        <f t="shared" si="4"/>
        <v>Serinus 60 User Manual</v>
      </c>
      <c r="E47" t="b">
        <v>1</v>
      </c>
      <c r="K47" s="15" t="s">
        <v>120</v>
      </c>
    </row>
    <row r="48" spans="2:11">
      <c r="B48" t="s">
        <v>69</v>
      </c>
      <c r="C48" t="s">
        <v>76</v>
      </c>
      <c r="D48" s="1" t="str">
        <f t="shared" si="4"/>
        <v>S30 Trace</v>
      </c>
      <c r="E48" t="b">
        <v>1</v>
      </c>
      <c r="K48" s="1" t="str">
        <f>B36</f>
        <v>S50 Test Lamp</v>
      </c>
    </row>
    <row r="49" spans="2:11">
      <c r="B49" t="s">
        <v>70</v>
      </c>
      <c r="C49" t="s">
        <v>75</v>
      </c>
      <c r="D49" s="1" t="str">
        <f t="shared" si="4"/>
        <v>S40 Trace</v>
      </c>
      <c r="E49" t="b">
        <v>1</v>
      </c>
      <c r="K49" s="1" t="str">
        <f>B43</f>
        <v>Serinus 51 User Manual</v>
      </c>
    </row>
    <row r="50" spans="2:11">
      <c r="B50" t="s">
        <v>71</v>
      </c>
      <c r="C50" t="s">
        <v>194</v>
      </c>
      <c r="D50" s="1" t="str">
        <f t="shared" si="4"/>
        <v>S50 Trace</v>
      </c>
      <c r="E50" t="b">
        <v>1</v>
      </c>
      <c r="K50" t="str">
        <f>B57</f>
        <v>High Pressure Span</v>
      </c>
    </row>
    <row r="51" spans="2:11">
      <c r="B51" t="s">
        <v>72</v>
      </c>
      <c r="C51" t="s">
        <v>77</v>
      </c>
      <c r="D51" s="1" t="str">
        <f t="shared" si="4"/>
        <v>S10 IZS</v>
      </c>
      <c r="E51" t="b">
        <v>1</v>
      </c>
      <c r="K51" t="str">
        <f>B58</f>
        <v>High Pressure Zero</v>
      </c>
    </row>
    <row r="52" spans="2:11">
      <c r="B52" t="s">
        <v>134</v>
      </c>
      <c r="C52" t="s">
        <v>135</v>
      </c>
      <c r="D52" s="1" t="str">
        <f t="shared" si="4"/>
        <v xml:space="preserve">S10 IZ </v>
      </c>
      <c r="E52" t="b">
        <v>1</v>
      </c>
      <c r="K52"/>
    </row>
    <row r="53" spans="2:11">
      <c r="B53" t="s">
        <v>73</v>
      </c>
      <c r="C53" t="s">
        <v>78</v>
      </c>
      <c r="D53" s="1" t="str">
        <f t="shared" si="4"/>
        <v>S40 IZS</v>
      </c>
      <c r="E53" t="b">
        <v>1</v>
      </c>
      <c r="K53"/>
    </row>
    <row r="54" spans="2:11">
      <c r="B54" t="s">
        <v>74</v>
      </c>
      <c r="C54" t="s">
        <v>81</v>
      </c>
      <c r="D54" s="1" t="str">
        <f t="shared" si="4"/>
        <v>S50 IZS</v>
      </c>
      <c r="E54" t="b">
        <v>1</v>
      </c>
      <c r="K54" s="15" t="s">
        <v>121</v>
      </c>
    </row>
    <row r="55" spans="2:11">
      <c r="B55" t="s">
        <v>80</v>
      </c>
      <c r="C55" t="s">
        <v>83</v>
      </c>
      <c r="D55" s="1" t="str">
        <f t="shared" si="4"/>
        <v>S40 Sample dryer</v>
      </c>
      <c r="E55" t="b">
        <v>1</v>
      </c>
      <c r="K55" s="1" t="str">
        <f>B32</f>
        <v>S50 Internal Pump</v>
      </c>
    </row>
    <row r="56" spans="2:11">
      <c r="B56" t="s">
        <v>82</v>
      </c>
      <c r="C56" t="s">
        <v>84</v>
      </c>
      <c r="D56" s="1" t="str">
        <f t="shared" si="4"/>
        <v>S30 High Flow</v>
      </c>
      <c r="E56" t="b">
        <v>1</v>
      </c>
      <c r="K56" s="1" t="str">
        <f>B36</f>
        <v>S50 Test Lamp</v>
      </c>
    </row>
    <row r="57" spans="2:11">
      <c r="B57" t="s">
        <v>136</v>
      </c>
      <c r="C57" t="s">
        <v>137</v>
      </c>
      <c r="D57" s="1" t="str">
        <f t="shared" si="4"/>
        <v>High Pressure Span</v>
      </c>
      <c r="E57" t="b">
        <v>1</v>
      </c>
      <c r="K57" s="1" t="str">
        <f>B44</f>
        <v>Serinus 55 User Manual</v>
      </c>
    </row>
    <row r="58" spans="2:11">
      <c r="B58" t="s">
        <v>139</v>
      </c>
      <c r="C58" t="s">
        <v>140</v>
      </c>
      <c r="D58" s="1" t="str">
        <f t="shared" si="4"/>
        <v>High Pressure Zero</v>
      </c>
      <c r="E58" t="b">
        <v>1</v>
      </c>
      <c r="K58" t="str">
        <f>B57</f>
        <v>High Pressure Span</v>
      </c>
    </row>
    <row r="59" spans="2:11" ht="16.5">
      <c r="B59" t="s">
        <v>183</v>
      </c>
      <c r="C59" t="s">
        <v>143</v>
      </c>
      <c r="D59" s="1" t="str">
        <f t="shared" si="4"/>
        <v>NH3 converter 240 V</v>
      </c>
      <c r="E59" t="b">
        <v>1</v>
      </c>
      <c r="K59" t="str">
        <f>B58</f>
        <v>High Pressure Zero</v>
      </c>
    </row>
    <row r="60" spans="2:11" ht="16.5">
      <c r="B60" t="s">
        <v>184</v>
      </c>
      <c r="C60" t="s">
        <v>144</v>
      </c>
      <c r="D60" s="1" t="str">
        <f t="shared" si="4"/>
        <v>NH3 converter 110 V</v>
      </c>
      <c r="E60" t="b">
        <v>1</v>
      </c>
    </row>
    <row r="61" spans="2:11">
      <c r="B61" t="s">
        <v>192</v>
      </c>
      <c r="C61" t="s">
        <v>145</v>
      </c>
      <c r="D61" s="1" t="str">
        <f t="shared" si="4"/>
        <v>Converter 240 V</v>
      </c>
      <c r="E61" t="b">
        <v>1</v>
      </c>
    </row>
    <row r="62" spans="2:11">
      <c r="B62" t="s">
        <v>193</v>
      </c>
      <c r="C62" t="s">
        <v>146</v>
      </c>
      <c r="D62" s="1" t="str">
        <f t="shared" si="4"/>
        <v>Converter 110 V</v>
      </c>
      <c r="E62" t="b">
        <v>1</v>
      </c>
      <c r="K62" s="15" t="s">
        <v>122</v>
      </c>
    </row>
    <row r="63" spans="2:11">
      <c r="B63" t="s">
        <v>149</v>
      </c>
      <c r="C63" t="s">
        <v>196</v>
      </c>
      <c r="D63" s="1" t="str">
        <f t="shared" si="4"/>
        <v>External CO2 sensor</v>
      </c>
      <c r="E63" t="b">
        <v>1</v>
      </c>
      <c r="K63" s="1" t="str">
        <f>B32</f>
        <v>S50 Internal Pump</v>
      </c>
    </row>
    <row r="64" spans="2:11">
      <c r="B64"/>
      <c r="C64"/>
      <c r="E64"/>
      <c r="K64" s="1" t="str">
        <f>B36</f>
        <v>S50 Test Lamp</v>
      </c>
    </row>
    <row r="65" spans="2:11">
      <c r="B65" s="15" t="s">
        <v>67</v>
      </c>
      <c r="C65"/>
      <c r="E65"/>
      <c r="K65" s="1" t="str">
        <f>B45</f>
        <v>Serinus 56 User Manual</v>
      </c>
    </row>
    <row r="66" spans="2:11">
      <c r="B66" t="s">
        <v>138</v>
      </c>
      <c r="C66" t="s">
        <v>3</v>
      </c>
      <c r="D66" s="1" t="str">
        <f>B66</f>
        <v>Network Port PCA</v>
      </c>
      <c r="E66" t="b">
        <v>0</v>
      </c>
      <c r="K66" s="1" t="str">
        <f>B57</f>
        <v>High Pressure Span</v>
      </c>
    </row>
    <row r="67" spans="2:11">
      <c r="B67" t="s">
        <v>152</v>
      </c>
      <c r="C67" t="s">
        <v>4</v>
      </c>
      <c r="D67" s="1" t="str">
        <f>B67</f>
        <v>Metric Fitting Kit (for rear panel)</v>
      </c>
      <c r="E67" t="b">
        <v>0</v>
      </c>
      <c r="K67" s="1" t="str">
        <f>B58</f>
        <v>High Pressure Zero</v>
      </c>
    </row>
    <row r="68" spans="2:11">
      <c r="B68" s="1" t="s">
        <v>142</v>
      </c>
      <c r="C68" s="1" t="s">
        <v>141</v>
      </c>
      <c r="D68" s="1" t="str">
        <f>B68</f>
        <v>Dual Sample Filter</v>
      </c>
      <c r="E68" t="b">
        <v>1</v>
      </c>
      <c r="K68" t="s">
        <v>192</v>
      </c>
    </row>
    <row r="69" spans="2:11">
      <c r="E69"/>
      <c r="K69" t="s">
        <v>193</v>
      </c>
    </row>
    <row r="70" spans="2:11">
      <c r="B70"/>
      <c r="C70"/>
      <c r="E70"/>
    </row>
    <row r="71" spans="2:11">
      <c r="B71" s="26" t="s">
        <v>68</v>
      </c>
      <c r="C71"/>
      <c r="E71"/>
    </row>
    <row r="72" spans="2:11">
      <c r="B72" t="s">
        <v>153</v>
      </c>
      <c r="C72" t="s">
        <v>5</v>
      </c>
      <c r="D72" s="1" t="str">
        <f>B72</f>
        <v>19" Rack Mount Kit</v>
      </c>
      <c r="E72" t="b">
        <v>0</v>
      </c>
      <c r="K72" s="15" t="s">
        <v>123</v>
      </c>
    </row>
    <row r="73" spans="2:11">
      <c r="B73" s="1" t="s">
        <v>147</v>
      </c>
      <c r="C73" t="s">
        <v>148</v>
      </c>
      <c r="D73" s="1" t="str">
        <f>B73</f>
        <v>External Charcoal scrubber</v>
      </c>
      <c r="E73" t="b">
        <v>1</v>
      </c>
      <c r="K73" s="1" t="str">
        <f>B32</f>
        <v>S50 Internal Pump</v>
      </c>
    </row>
    <row r="74" spans="2:11">
      <c r="B74" s="1" t="s">
        <v>186</v>
      </c>
      <c r="C74" s="1" t="s">
        <v>156</v>
      </c>
      <c r="D74" s="1" t="str">
        <f>B74</f>
        <v>External Pump 240 V</v>
      </c>
      <c r="E74" t="b">
        <v>1</v>
      </c>
      <c r="K74" s="1" t="str">
        <f>B36</f>
        <v>S50 Test Lamp</v>
      </c>
    </row>
    <row r="75" spans="2:11">
      <c r="B75" s="1" t="s">
        <v>187</v>
      </c>
      <c r="C75" s="1" t="s">
        <v>157</v>
      </c>
      <c r="D75" s="1" t="str">
        <f>B75</f>
        <v>External Pump 110 V</v>
      </c>
      <c r="E75" t="b">
        <v>1</v>
      </c>
      <c r="K75" s="1" t="str">
        <f>B46</f>
        <v>Serinus 57 User Manual</v>
      </c>
    </row>
    <row r="76" spans="2:11">
      <c r="B76" s="1" t="s">
        <v>201</v>
      </c>
      <c r="C76" s="1" t="s">
        <v>199</v>
      </c>
      <c r="D76" s="1" t="s">
        <v>201</v>
      </c>
      <c r="E76" s="1" t="b">
        <v>1</v>
      </c>
      <c r="K76" s="1" t="str">
        <f>B57</f>
        <v>High Pressure Span</v>
      </c>
    </row>
    <row r="77" spans="2:11">
      <c r="B77" s="1" t="s">
        <v>202</v>
      </c>
      <c r="C77" s="1" t="s">
        <v>200</v>
      </c>
      <c r="D77" s="1" t="s">
        <v>202</v>
      </c>
      <c r="E77" s="1" t="b">
        <v>1</v>
      </c>
      <c r="K77" s="1" t="str">
        <f>B58</f>
        <v>High Pressure Zero</v>
      </c>
    </row>
    <row r="78" spans="2:11">
      <c r="B78" s="15" t="s">
        <v>110</v>
      </c>
      <c r="K78" t="s">
        <v>192</v>
      </c>
    </row>
    <row r="79" spans="2:11">
      <c r="B79" s="1" t="s">
        <v>109</v>
      </c>
      <c r="C79" s="1" t="s">
        <v>85</v>
      </c>
      <c r="D79" s="1" t="str">
        <f t="shared" ref="D79:D96" si="5">B79</f>
        <v>Service Accessories Kit</v>
      </c>
      <c r="E79" s="1" t="b">
        <v>1</v>
      </c>
      <c r="K79" t="s">
        <v>193</v>
      </c>
    </row>
    <row r="80" spans="2:11">
      <c r="B80" s="1" t="s">
        <v>86</v>
      </c>
      <c r="C80" s="1" t="s">
        <v>87</v>
      </c>
      <c r="D80" s="1" t="str">
        <f t="shared" si="5"/>
        <v>S10 Annual Maintenance Kit</v>
      </c>
      <c r="E80" s="1" t="b">
        <v>1</v>
      </c>
    </row>
    <row r="81" spans="2:11">
      <c r="B81" s="1" t="s">
        <v>88</v>
      </c>
      <c r="C81" s="1" t="s">
        <v>97</v>
      </c>
      <c r="D81" s="1" t="str">
        <f t="shared" si="5"/>
        <v>S30 Annual Maintenance Kit</v>
      </c>
      <c r="E81" s="1" t="b">
        <v>1</v>
      </c>
    </row>
    <row r="82" spans="2:11">
      <c r="B82" s="1" t="s">
        <v>209</v>
      </c>
      <c r="C82" s="1" t="s">
        <v>210</v>
      </c>
      <c r="D82" s="1" t="str">
        <f t="shared" si="5"/>
        <v>S31 Annual Maintenance Kit</v>
      </c>
      <c r="E82" s="1" t="b">
        <v>1</v>
      </c>
      <c r="K82" s="15" t="s">
        <v>124</v>
      </c>
    </row>
    <row r="83" spans="2:11">
      <c r="B83" s="1" t="s">
        <v>89</v>
      </c>
      <c r="C83" s="1" t="s">
        <v>98</v>
      </c>
      <c r="D83" s="1" t="str">
        <f t="shared" si="5"/>
        <v>S40 Annual Maintenance Kit</v>
      </c>
      <c r="E83" s="1" t="b">
        <v>1</v>
      </c>
      <c r="K83" s="1" t="str">
        <f>B33</f>
        <v>S60 Internal Pump</v>
      </c>
    </row>
    <row r="84" spans="2:11">
      <c r="B84" s="1" t="s">
        <v>92</v>
      </c>
      <c r="C84" s="1" t="s">
        <v>99</v>
      </c>
      <c r="D84" s="1" t="str">
        <f t="shared" si="5"/>
        <v>S44 Annual Maintenance Kit</v>
      </c>
      <c r="E84" s="1" t="b">
        <v>1</v>
      </c>
      <c r="K84" s="1" t="str">
        <f>B47</f>
        <v>Serinus 60 User Manual</v>
      </c>
    </row>
    <row r="85" spans="2:11">
      <c r="B85" s="1" t="s">
        <v>90</v>
      </c>
      <c r="C85" s="1" t="s">
        <v>100</v>
      </c>
      <c r="D85" s="1" t="str">
        <f t="shared" si="5"/>
        <v>S50/S56 Annual Maintenance Kit</v>
      </c>
      <c r="E85" s="1" t="b">
        <v>1</v>
      </c>
      <c r="K85" s="1" t="str">
        <f>B57</f>
        <v>High Pressure Span</v>
      </c>
    </row>
    <row r="86" spans="2:11">
      <c r="B86" s="1" t="s">
        <v>96</v>
      </c>
      <c r="C86" s="1" t="s">
        <v>101</v>
      </c>
      <c r="D86" s="1" t="str">
        <f t="shared" si="5"/>
        <v>S51 Annual Maintenance Kit</v>
      </c>
      <c r="E86" s="1" t="b">
        <v>1</v>
      </c>
      <c r="K86" s="1" t="str">
        <f>B58</f>
        <v>High Pressure Zero</v>
      </c>
    </row>
    <row r="87" spans="2:11">
      <c r="B87" s="1" t="s">
        <v>91</v>
      </c>
      <c r="C87" s="1" t="s">
        <v>102</v>
      </c>
      <c r="D87" s="1" t="str">
        <f t="shared" si="5"/>
        <v>S55/S57 Annual Maintenance Kit</v>
      </c>
      <c r="E87" s="1" t="b">
        <v>1</v>
      </c>
    </row>
    <row r="88" spans="2:11">
      <c r="B88" s="1" t="s">
        <v>94</v>
      </c>
      <c r="C88" s="1" t="s">
        <v>103</v>
      </c>
      <c r="D88" s="1" t="str">
        <f t="shared" si="5"/>
        <v>S10 IZS Annual Maintenance Kit</v>
      </c>
      <c r="E88" s="1" t="b">
        <v>1</v>
      </c>
    </row>
    <row r="89" spans="2:11">
      <c r="B89" s="1" t="s">
        <v>93</v>
      </c>
      <c r="C89" s="1" t="s">
        <v>104</v>
      </c>
      <c r="D89" s="1" t="str">
        <f t="shared" si="5"/>
        <v>S40 IZS Annual Maintenance Kit</v>
      </c>
      <c r="E89" s="1" t="b">
        <v>1</v>
      </c>
      <c r="K89" s="15" t="s">
        <v>208</v>
      </c>
    </row>
    <row r="90" spans="2:11">
      <c r="B90" s="1" t="s">
        <v>95</v>
      </c>
      <c r="C90" s="1" t="s">
        <v>105</v>
      </c>
      <c r="D90" s="1" t="str">
        <f t="shared" si="5"/>
        <v>S50 IZS Annual Maintenance Kit</v>
      </c>
      <c r="E90" s="1" t="b">
        <v>1</v>
      </c>
      <c r="K90" s="1" t="str">
        <f>B30</f>
        <v>S31 Internal Pump</v>
      </c>
    </row>
    <row r="91" spans="2:11">
      <c r="B91" s="1" t="s">
        <v>155</v>
      </c>
      <c r="C91" s="1" t="s">
        <v>158</v>
      </c>
      <c r="D91" s="1" t="str">
        <f t="shared" si="5"/>
        <v>S60 Annual Maintenance Kit</v>
      </c>
      <c r="K91" s="1" t="str">
        <f>B39</f>
        <v>Serinus 31 User Manual</v>
      </c>
    </row>
    <row r="92" spans="2:11">
      <c r="B92" s="1" t="s">
        <v>9</v>
      </c>
      <c r="C92" s="1" t="s">
        <v>10</v>
      </c>
      <c r="D92" s="1" t="str">
        <f t="shared" si="5"/>
        <v>Scrubber NH3</v>
      </c>
      <c r="E92" s="1" t="b">
        <v>1</v>
      </c>
      <c r="K92" s="1" t="str">
        <f>B57</f>
        <v>High Pressure Span</v>
      </c>
    </row>
    <row r="93" spans="2:11">
      <c r="B93" s="1" t="s">
        <v>11</v>
      </c>
      <c r="C93" s="1" t="s">
        <v>13</v>
      </c>
      <c r="D93" s="1" t="str">
        <f t="shared" si="5"/>
        <v>Filter DFU (old PN 036-040180)</v>
      </c>
      <c r="E93" s="1" t="b">
        <v>1</v>
      </c>
      <c r="K93" s="1" t="str">
        <f>B58</f>
        <v>High Pressure Zero</v>
      </c>
    </row>
    <row r="94" spans="2:11">
      <c r="B94" s="1" t="s">
        <v>12</v>
      </c>
      <c r="C94" s="1">
        <v>98415106</v>
      </c>
      <c r="D94" s="1" t="str">
        <f t="shared" si="5"/>
        <v>Filter Felt 1.56" Diam. To suit scrubber cannisters</v>
      </c>
      <c r="E94" s="1" t="b">
        <v>1</v>
      </c>
    </row>
    <row r="95" spans="2:11">
      <c r="B95" s="1" t="s">
        <v>162</v>
      </c>
      <c r="C95" s="1" t="s">
        <v>14</v>
      </c>
      <c r="D95" s="1" t="str">
        <f t="shared" si="5"/>
        <v>External Pump Repair Kit (to suit 607 pump)</v>
      </c>
      <c r="E95" s="1" t="b">
        <v>1</v>
      </c>
    </row>
    <row r="96" spans="2:11">
      <c r="B96" s="1" t="s">
        <v>161</v>
      </c>
      <c r="C96" s="1" t="s">
        <v>160</v>
      </c>
      <c r="D96" s="1" t="str">
        <f t="shared" si="5"/>
        <v>Internal Pump Repair Kit (to suit KNF pump)</v>
      </c>
      <c r="E96" s="1" t="b">
        <v>1</v>
      </c>
    </row>
    <row r="97" spans="2:5">
      <c r="B97" s="1" t="s">
        <v>203</v>
      </c>
      <c r="C97" s="1" t="s">
        <v>204</v>
      </c>
      <c r="D97" s="1" t="s">
        <v>203</v>
      </c>
      <c r="E97" s="1" t="b">
        <v>1</v>
      </c>
    </row>
    <row r="99" spans="2:5">
      <c r="B99" s="15" t="s">
        <v>15</v>
      </c>
    </row>
    <row r="100" spans="2:5">
      <c r="B100" s="1" t="s">
        <v>185</v>
      </c>
      <c r="C100" s="1" t="s">
        <v>189</v>
      </c>
      <c r="D100" s="1" t="str">
        <f>B100</f>
        <v>NATA Calibration</v>
      </c>
      <c r="E100" s="1" t="b">
        <v>1</v>
      </c>
    </row>
    <row r="104" spans="2:5">
      <c r="B104" s="28"/>
    </row>
    <row r="105" spans="2:5">
      <c r="B105" s="28"/>
    </row>
    <row r="106" spans="2:5">
      <c r="B106" s="28" t="s">
        <v>125</v>
      </c>
    </row>
    <row r="107" spans="2:5">
      <c r="B107" s="28"/>
    </row>
    <row r="108" spans="2:5">
      <c r="B108" s="28"/>
    </row>
    <row r="109" spans="2:5">
      <c r="B109" s="28"/>
    </row>
    <row r="110" spans="2:5">
      <c r="B110" s="28"/>
    </row>
    <row r="111" spans="2:5">
      <c r="B111" s="28"/>
    </row>
    <row r="112" spans="2:5">
      <c r="B112"/>
    </row>
    <row r="113" spans="2:2">
      <c r="B113" s="28" t="s">
        <v>126</v>
      </c>
    </row>
    <row r="114" spans="2:2">
      <c r="B114" s="28" t="s">
        <v>127</v>
      </c>
    </row>
    <row r="115" spans="2:2">
      <c r="B115" s="28" t="s">
        <v>198</v>
      </c>
    </row>
    <row r="116" spans="2:2">
      <c r="B116" s="31" t="s">
        <v>197</v>
      </c>
    </row>
    <row r="6483" spans="5:5">
      <c r="E6483" s="1" t="b">
        <v>1</v>
      </c>
    </row>
    <row r="7873" spans="5:5">
      <c r="E7873" s="1" t="b">
        <v>1</v>
      </c>
    </row>
  </sheetData>
  <phoneticPr fontId="2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Serinus Analyser Order Guide</vt:lpstr>
      <vt:lpstr>data sources</vt:lpstr>
      <vt:lpstr>base_model</vt:lpstr>
      <vt:lpstr>checkbox_product_codes</vt:lpstr>
      <vt:lpstr>checkbox_product_names</vt:lpstr>
      <vt:lpstr>GAS</vt:lpstr>
      <vt:lpstr>High_Range</vt:lpstr>
      <vt:lpstr>Model_range</vt:lpstr>
      <vt:lpstr>'Serinus Analyser Order Guide'!Print_Area</vt:lpstr>
      <vt:lpstr>product_code_lookup</vt:lpstr>
      <vt:lpstr>product_codes</vt:lpstr>
      <vt:lpstr>product_names</vt:lpstr>
      <vt:lpstr>S31_Options</vt:lpstr>
      <vt:lpstr>S40_Options</vt:lpstr>
      <vt:lpstr>S44_Options</vt:lpstr>
      <vt:lpstr>S50_Options</vt:lpstr>
      <vt:lpstr>S51_Options</vt:lpstr>
      <vt:lpstr>S55_Options</vt:lpstr>
      <vt:lpstr>S56_Options</vt:lpstr>
      <vt:lpstr>S57_Options</vt:lpstr>
      <vt:lpstr>S60_Options</vt:lpstr>
      <vt:lpstr>Standard_Range</vt:lpstr>
      <vt:lpstr>Trace_Range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Hugh Campbell</dc:creator>
  <cp:lastModifiedBy>Morgan Thomas</cp:lastModifiedBy>
  <cp:lastPrinted>2019-07-22T01:54:32Z</cp:lastPrinted>
  <dcterms:created xsi:type="dcterms:W3CDTF">2015-02-16T23:22:48Z</dcterms:created>
  <dcterms:modified xsi:type="dcterms:W3CDTF">2021-12-22T07:14:32Z</dcterms:modified>
</cp:coreProperties>
</file>